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8520" tabRatio="698"/>
  </bookViews>
  <sheets>
    <sheet name="収集ゴミのカレンダー" sheetId="15" r:id="rId1"/>
    <sheet name="ゴミの日" sheetId="8" r:id="rId2"/>
    <sheet name="ゴミの日（特別）" sheetId="16" r:id="rId3"/>
    <sheet name="祝日" sheetId="13" r:id="rId4"/>
  </sheets>
  <definedNames>
    <definedName name="月のリスト" localSheetId="0">収集ゴミのカレンダー!$U$55:$U$66</definedName>
    <definedName name="月のリスト">#REF!</definedName>
    <definedName name="年">祝日!$B$1</definedName>
    <definedName name="表示データ">収集ゴミのカレンダー!$G$6:$Q$36</definedName>
  </definedNames>
  <calcPr calcId="125725"/>
</workbook>
</file>

<file path=xl/calcChain.xml><?xml version="1.0" encoding="utf-8"?>
<calcChain xmlns="http://schemas.openxmlformats.org/spreadsheetml/2006/main">
  <c r="C12" i="16"/>
  <c r="C13"/>
  <c r="C14"/>
  <c r="C15"/>
  <c r="C16"/>
  <c r="C17"/>
  <c r="C18"/>
  <c r="C19"/>
  <c r="C20"/>
  <c r="C21"/>
  <c r="C22"/>
  <c r="C23"/>
  <c r="C24"/>
  <c r="C25"/>
  <c r="M25"/>
  <c r="N25" s="1"/>
  <c r="O25" s="1"/>
  <c r="M24"/>
  <c r="N24" s="1"/>
  <c r="O24" s="1"/>
  <c r="M23"/>
  <c r="N23" s="1"/>
  <c r="O23" s="1"/>
  <c r="M22"/>
  <c r="N22" s="1"/>
  <c r="O22" s="1"/>
  <c r="M21"/>
  <c r="N21" s="1"/>
  <c r="O21" s="1"/>
  <c r="M20"/>
  <c r="N20" s="1"/>
  <c r="O20" s="1"/>
  <c r="M19"/>
  <c r="N19" s="1"/>
  <c r="O19" s="1"/>
  <c r="M18"/>
  <c r="N18" s="1"/>
  <c r="O18" s="1"/>
  <c r="M17"/>
  <c r="N17" s="1"/>
  <c r="O17" s="1"/>
  <c r="M16"/>
  <c r="N16" s="1"/>
  <c r="O16" s="1"/>
  <c r="M15"/>
  <c r="N15" s="1"/>
  <c r="O15" s="1"/>
  <c r="M14"/>
  <c r="N14" s="1"/>
  <c r="O14" s="1"/>
  <c r="M13"/>
  <c r="N13" s="1"/>
  <c r="O13" s="1"/>
  <c r="M12"/>
  <c r="N12" s="1"/>
  <c r="O12" s="1"/>
  <c r="O11"/>
  <c r="N11"/>
  <c r="M11"/>
  <c r="K11"/>
  <c r="J11"/>
  <c r="I11"/>
  <c r="H11"/>
  <c r="G11"/>
  <c r="F11"/>
  <c r="E11"/>
  <c r="D11"/>
  <c r="C11"/>
  <c r="B1" i="13"/>
  <c r="H30"/>
  <c r="C36" i="15"/>
  <c r="E36" s="1"/>
  <c r="C35"/>
  <c r="D35" s="1"/>
  <c r="H35" s="1"/>
  <c r="C34"/>
  <c r="E34" s="1"/>
  <c r="I33"/>
  <c r="C33"/>
  <c r="D33" s="1"/>
  <c r="I32"/>
  <c r="C32"/>
  <c r="E32" s="1"/>
  <c r="I31"/>
  <c r="C31"/>
  <c r="D31" s="1"/>
  <c r="I30"/>
  <c r="C30"/>
  <c r="D30" s="1"/>
  <c r="I29"/>
  <c r="C29"/>
  <c r="D29" s="1"/>
  <c r="I28"/>
  <c r="C28"/>
  <c r="E28" s="1"/>
  <c r="I27"/>
  <c r="C27"/>
  <c r="E27" s="1"/>
  <c r="I26"/>
  <c r="C26"/>
  <c r="E26" s="1"/>
  <c r="I25"/>
  <c r="C25"/>
  <c r="D25" s="1"/>
  <c r="I24"/>
  <c r="C24"/>
  <c r="D24" s="1"/>
  <c r="I23"/>
  <c r="C23"/>
  <c r="E23" s="1"/>
  <c r="I22"/>
  <c r="C22"/>
  <c r="E22" s="1"/>
  <c r="I21"/>
  <c r="C21"/>
  <c r="D21" s="1"/>
  <c r="I20"/>
  <c r="C20"/>
  <c r="D20" s="1"/>
  <c r="I19"/>
  <c r="C19"/>
  <c r="E19" s="1"/>
  <c r="I18"/>
  <c r="C18"/>
  <c r="D18" s="1"/>
  <c r="I17"/>
  <c r="C17"/>
  <c r="D17" s="1"/>
  <c r="I16"/>
  <c r="C16"/>
  <c r="D16" s="1"/>
  <c r="I15"/>
  <c r="C15"/>
  <c r="D15" s="1"/>
  <c r="I14"/>
  <c r="C14"/>
  <c r="D14" s="1"/>
  <c r="I13"/>
  <c r="C13"/>
  <c r="D13" s="1"/>
  <c r="I12"/>
  <c r="C12"/>
  <c r="D12" s="1"/>
  <c r="I11"/>
  <c r="C11"/>
  <c r="D11" s="1"/>
  <c r="I10"/>
  <c r="C10"/>
  <c r="D10" s="1"/>
  <c r="I9"/>
  <c r="C9"/>
  <c r="D9" s="1"/>
  <c r="I8"/>
  <c r="C8"/>
  <c r="D8" s="1"/>
  <c r="I7"/>
  <c r="C7"/>
  <c r="D7" s="1"/>
  <c r="I6"/>
  <c r="C6"/>
  <c r="E6" s="1"/>
  <c r="H16" i="13"/>
  <c r="F21"/>
  <c r="G21" s="1"/>
  <c r="I21" s="1"/>
  <c r="I6"/>
  <c r="I8"/>
  <c r="I9"/>
  <c r="I12"/>
  <c r="I13"/>
  <c r="I14"/>
  <c r="I15"/>
  <c r="I16"/>
  <c r="I17"/>
  <c r="I19"/>
  <c r="I20"/>
  <c r="I26"/>
  <c r="I27"/>
  <c r="I28"/>
  <c r="I29"/>
  <c r="I30"/>
  <c r="I31"/>
  <c r="I5"/>
  <c r="J10"/>
  <c r="J16"/>
  <c r="J15"/>
  <c r="J14"/>
  <c r="J8"/>
  <c r="J7"/>
  <c r="J18"/>
  <c r="J19"/>
  <c r="J21"/>
  <c r="J23"/>
  <c r="J25"/>
  <c r="J26"/>
  <c r="J28"/>
  <c r="J30"/>
  <c r="P10" i="8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6"/>
  <c r="P8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6"/>
  <c r="O8"/>
  <c r="O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4"/>
  <c r="O4" s="1"/>
  <c r="P4" s="1"/>
  <c r="N5"/>
  <c r="O5" s="1"/>
  <c r="P5" s="1"/>
  <c r="N6"/>
  <c r="N7"/>
  <c r="O7" s="1"/>
  <c r="P7" s="1"/>
  <c r="N8"/>
  <c r="N9"/>
  <c r="O9" s="1"/>
  <c r="N10"/>
  <c r="P36" i="15" l="1"/>
  <c r="P32"/>
  <c r="P24"/>
  <c r="P20"/>
  <c r="P16"/>
  <c r="P12"/>
  <c r="P8"/>
  <c r="P7"/>
  <c r="P6"/>
  <c r="P33"/>
  <c r="P29"/>
  <c r="P25"/>
  <c r="P21"/>
  <c r="P17"/>
  <c r="P13"/>
  <c r="P9"/>
  <c r="P34"/>
  <c r="P30"/>
  <c r="P26"/>
  <c r="P22"/>
  <c r="P18"/>
  <c r="P14"/>
  <c r="P10"/>
  <c r="P28"/>
  <c r="P35"/>
  <c r="P31"/>
  <c r="P27"/>
  <c r="P23"/>
  <c r="P19"/>
  <c r="P15"/>
  <c r="P11"/>
  <c r="E14"/>
  <c r="D27"/>
  <c r="D23"/>
  <c r="E30"/>
  <c r="D22"/>
  <c r="D28"/>
  <c r="E31"/>
  <c r="D26"/>
  <c r="D6"/>
  <c r="D19"/>
  <c r="E35"/>
  <c r="E15"/>
  <c r="E18"/>
  <c r="D32"/>
  <c r="I35"/>
  <c r="E7"/>
  <c r="L7" s="1"/>
  <c r="M7" s="1"/>
  <c r="N7" s="1"/>
  <c r="E8"/>
  <c r="E9"/>
  <c r="E10"/>
  <c r="E11"/>
  <c r="E13"/>
  <c r="E17"/>
  <c r="E21"/>
  <c r="E25"/>
  <c r="E29"/>
  <c r="E33"/>
  <c r="D34"/>
  <c r="H34" s="1"/>
  <c r="D36"/>
  <c r="H36" s="1"/>
  <c r="G6"/>
  <c r="M6"/>
  <c r="N6" s="1"/>
  <c r="E12"/>
  <c r="E16"/>
  <c r="E20"/>
  <c r="E24"/>
  <c r="H5" i="13"/>
  <c r="H19"/>
  <c r="H26"/>
  <c r="H28"/>
  <c r="F25"/>
  <c r="G25" s="1"/>
  <c r="H25" s="1"/>
  <c r="H14"/>
  <c r="F7"/>
  <c r="G7" s="1"/>
  <c r="H7" s="1"/>
  <c r="H8"/>
  <c r="H12"/>
  <c r="J12" s="1"/>
  <c r="H29"/>
  <c r="J29" s="1"/>
  <c r="H20"/>
  <c r="J20" s="1"/>
  <c r="H15"/>
  <c r="H9"/>
  <c r="J9" s="1"/>
  <c r="F18"/>
  <c r="G18" s="1"/>
  <c r="H18" s="1"/>
  <c r="H31"/>
  <c r="J31" s="1"/>
  <c r="H27"/>
  <c r="J27" s="1"/>
  <c r="H17"/>
  <c r="J17" s="1"/>
  <c r="H13"/>
  <c r="J13" s="1"/>
  <c r="H6"/>
  <c r="J6" s="1"/>
  <c r="G10"/>
  <c r="I10" s="1"/>
  <c r="G23"/>
  <c r="H23" s="1"/>
  <c r="H22"/>
  <c r="H21"/>
  <c r="I22"/>
  <c r="J22"/>
  <c r="B22" s="1"/>
  <c r="B32" s="1"/>
  <c r="P9" i="8"/>
  <c r="F7" i="15" l="1"/>
  <c r="G7" s="1"/>
  <c r="I18" i="13"/>
  <c r="I7"/>
  <c r="L8" i="15"/>
  <c r="I36"/>
  <c r="I25" i="13"/>
  <c r="I34" i="15"/>
  <c r="I23" i="13"/>
  <c r="H10"/>
  <c r="G11"/>
  <c r="G24"/>
  <c r="H24" s="1"/>
  <c r="J24" s="1"/>
  <c r="F8" i="15" l="1"/>
  <c r="G8" s="1"/>
  <c r="M8"/>
  <c r="N8" s="1"/>
  <c r="L9"/>
  <c r="I11" i="13"/>
  <c r="H11"/>
  <c r="J11" s="1"/>
  <c r="I24"/>
  <c r="F9" i="15" l="1"/>
  <c r="G9" s="1"/>
  <c r="J34"/>
  <c r="K34" s="1"/>
  <c r="J36"/>
  <c r="K36" s="1"/>
  <c r="J16"/>
  <c r="K16" s="1"/>
  <c r="J17"/>
  <c r="K17" s="1"/>
  <c r="J35"/>
  <c r="K35" s="1"/>
  <c r="M9"/>
  <c r="N9" s="1"/>
  <c r="L10"/>
  <c r="J7"/>
  <c r="K7" s="1"/>
  <c r="O7" s="1"/>
  <c r="Q7" s="1"/>
  <c r="J11"/>
  <c r="K11" s="1"/>
  <c r="J33"/>
  <c r="K33" s="1"/>
  <c r="J15"/>
  <c r="K15" s="1"/>
  <c r="J22"/>
  <c r="K22" s="1"/>
  <c r="J31"/>
  <c r="K31" s="1"/>
  <c r="J21"/>
  <c r="K21" s="1"/>
  <c r="J9"/>
  <c r="K9" s="1"/>
  <c r="J19"/>
  <c r="K19" s="1"/>
  <c r="J23"/>
  <c r="K23" s="1"/>
  <c r="J8"/>
  <c r="K8" s="1"/>
  <c r="O8" s="1"/>
  <c r="Q8" s="1"/>
  <c r="J10"/>
  <c r="K10" s="1"/>
  <c r="J12"/>
  <c r="K12" s="1"/>
  <c r="J26"/>
  <c r="K26" s="1"/>
  <c r="J6"/>
  <c r="K6" s="1"/>
  <c r="O6" s="1"/>
  <c r="Q6" s="1"/>
  <c r="J25"/>
  <c r="K25" s="1"/>
  <c r="J24"/>
  <c r="K24" s="1"/>
  <c r="J28"/>
  <c r="K28" s="1"/>
  <c r="J14"/>
  <c r="K14" s="1"/>
  <c r="J32"/>
  <c r="K32" s="1"/>
  <c r="J13"/>
  <c r="K13" s="1"/>
  <c r="J20"/>
  <c r="K20" s="1"/>
  <c r="J18"/>
  <c r="K18" s="1"/>
  <c r="J27"/>
  <c r="K27" s="1"/>
  <c r="J30"/>
  <c r="K30" s="1"/>
  <c r="J29"/>
  <c r="K29" s="1"/>
  <c r="F10" l="1"/>
  <c r="F11" s="1"/>
  <c r="F12" s="1"/>
  <c r="L11"/>
  <c r="M10"/>
  <c r="N10" s="1"/>
  <c r="O10" s="1"/>
  <c r="Q10" s="1"/>
  <c r="O9"/>
  <c r="Q9" s="1"/>
  <c r="G11" l="1"/>
  <c r="G10"/>
  <c r="Z6" s="1"/>
  <c r="L12"/>
  <c r="M11"/>
  <c r="N11" s="1"/>
  <c r="O11" s="1"/>
  <c r="Q11" s="1"/>
  <c r="G12"/>
  <c r="F13"/>
  <c r="L13" l="1"/>
  <c r="M12"/>
  <c r="N12" s="1"/>
  <c r="O12" s="1"/>
  <c r="Q12" s="1"/>
  <c r="G13"/>
  <c r="F14"/>
  <c r="Z7" l="1"/>
  <c r="T8"/>
  <c r="L14"/>
  <c r="M13"/>
  <c r="N13" s="1"/>
  <c r="O13" s="1"/>
  <c r="Q13" s="1"/>
  <c r="G14"/>
  <c r="F15"/>
  <c r="U8" l="1"/>
  <c r="T9"/>
  <c r="L15"/>
  <c r="M14"/>
  <c r="N14" s="1"/>
  <c r="O14" s="1"/>
  <c r="Q14" s="1"/>
  <c r="U9" s="1"/>
  <c r="G15"/>
  <c r="V8" s="1"/>
  <c r="F16"/>
  <c r="L16" l="1"/>
  <c r="M15"/>
  <c r="N15" s="1"/>
  <c r="O15" s="1"/>
  <c r="Q15" s="1"/>
  <c r="G16"/>
  <c r="F17"/>
  <c r="W8" l="1"/>
  <c r="V9"/>
  <c r="L17"/>
  <c r="M16"/>
  <c r="N16" s="1"/>
  <c r="O16" s="1"/>
  <c r="Q16" s="1"/>
  <c r="W9" s="1"/>
  <c r="G17"/>
  <c r="X8" s="1"/>
  <c r="F18"/>
  <c r="L18" l="1"/>
  <c r="M17"/>
  <c r="N17" s="1"/>
  <c r="O17" s="1"/>
  <c r="Q17" s="1"/>
  <c r="G18"/>
  <c r="F19"/>
  <c r="X9" l="1"/>
  <c r="L19"/>
  <c r="M18"/>
  <c r="N18" s="1"/>
  <c r="O18" s="1"/>
  <c r="Q18" s="1"/>
  <c r="G19"/>
  <c r="F20"/>
  <c r="Y9" l="1"/>
  <c r="L20"/>
  <c r="M19"/>
  <c r="N19" s="1"/>
  <c r="O19" s="1"/>
  <c r="Q19" s="1"/>
  <c r="G20"/>
  <c r="F21"/>
  <c r="Z9" l="1"/>
  <c r="M20"/>
  <c r="N20" s="1"/>
  <c r="O20" s="1"/>
  <c r="Q20" s="1"/>
  <c r="L21"/>
  <c r="G21"/>
  <c r="F22"/>
  <c r="T11" l="1"/>
  <c r="L22"/>
  <c r="M21"/>
  <c r="N21" s="1"/>
  <c r="O21" s="1"/>
  <c r="Q21" s="1"/>
  <c r="G22"/>
  <c r="F23"/>
  <c r="U11" l="1"/>
  <c r="L23"/>
  <c r="M22"/>
  <c r="N22" s="1"/>
  <c r="O22" s="1"/>
  <c r="Q22" s="1"/>
  <c r="G23"/>
  <c r="F24"/>
  <c r="V11" l="1"/>
  <c r="L24"/>
  <c r="M23"/>
  <c r="N23" s="1"/>
  <c r="O23" s="1"/>
  <c r="Q23" s="1"/>
  <c r="G24"/>
  <c r="F25"/>
  <c r="W11" l="1"/>
  <c r="L25"/>
  <c r="M24"/>
  <c r="N24" s="1"/>
  <c r="O24" s="1"/>
  <c r="Q24" s="1"/>
  <c r="X11" s="1"/>
  <c r="G25"/>
  <c r="F26"/>
  <c r="L26" l="1"/>
  <c r="M25"/>
  <c r="N25" s="1"/>
  <c r="O25" s="1"/>
  <c r="Q25" s="1"/>
  <c r="G26"/>
  <c r="F27"/>
  <c r="Y11" l="1"/>
  <c r="L27"/>
  <c r="M26"/>
  <c r="N26" s="1"/>
  <c r="O26" s="1"/>
  <c r="Q26" s="1"/>
  <c r="Z11" s="1"/>
  <c r="G27"/>
  <c r="F28"/>
  <c r="L28" l="1"/>
  <c r="M27"/>
  <c r="N27" s="1"/>
  <c r="O27" s="1"/>
  <c r="Q27" s="1"/>
  <c r="G28"/>
  <c r="F29"/>
  <c r="T13" l="1"/>
  <c r="L29"/>
  <c r="M28"/>
  <c r="N28" s="1"/>
  <c r="O28" s="1"/>
  <c r="Q28" s="1"/>
  <c r="G29"/>
  <c r="F30"/>
  <c r="U13" l="1"/>
  <c r="L30"/>
  <c r="M29"/>
  <c r="N29" s="1"/>
  <c r="O29" s="1"/>
  <c r="Q29" s="1"/>
  <c r="G30"/>
  <c r="F31"/>
  <c r="V13" l="1"/>
  <c r="M30"/>
  <c r="N30" s="1"/>
  <c r="O30" s="1"/>
  <c r="Q30" s="1"/>
  <c r="L31"/>
  <c r="G31"/>
  <c r="F32"/>
  <c r="W13" l="1"/>
  <c r="L32"/>
  <c r="M31"/>
  <c r="N31" s="1"/>
  <c r="O31" s="1"/>
  <c r="Q31" s="1"/>
  <c r="G32"/>
  <c r="F33"/>
  <c r="X13" l="1"/>
  <c r="M32"/>
  <c r="N32" s="1"/>
  <c r="O32" s="1"/>
  <c r="Q32" s="1"/>
  <c r="L33"/>
  <c r="G33"/>
  <c r="F34"/>
  <c r="Y13" l="1"/>
  <c r="L34"/>
  <c r="M33"/>
  <c r="N33" s="1"/>
  <c r="O33" s="1"/>
  <c r="Q33" s="1"/>
  <c r="G34"/>
  <c r="F35"/>
  <c r="Z13" l="1"/>
  <c r="L35"/>
  <c r="M34"/>
  <c r="N34" s="1"/>
  <c r="O34" s="1"/>
  <c r="Q34" s="1"/>
  <c r="G35"/>
  <c r="F36"/>
  <c r="G36" s="1"/>
  <c r="W15" l="1"/>
  <c r="T15"/>
  <c r="M35"/>
  <c r="N35" s="1"/>
  <c r="O35" s="1"/>
  <c r="Q35" s="1"/>
  <c r="X15" s="1"/>
  <c r="L36"/>
  <c r="M36" s="1"/>
  <c r="N36" s="1"/>
  <c r="O36" s="1"/>
  <c r="Q36" s="1"/>
  <c r="V15" s="1"/>
  <c r="U15" l="1"/>
  <c r="X6"/>
  <c r="X7"/>
  <c r="W7"/>
  <c r="Y7"/>
  <c r="W6"/>
  <c r="Y6"/>
  <c r="Y15"/>
  <c r="Z12"/>
  <c r="Z14"/>
  <c r="X10"/>
  <c r="X12"/>
  <c r="T10"/>
  <c r="Z15"/>
  <c r="Y12"/>
  <c r="U14"/>
  <c r="Z10"/>
  <c r="U12"/>
  <c r="V12"/>
  <c r="Y14"/>
  <c r="T16"/>
  <c r="U6"/>
  <c r="V6"/>
  <c r="V7"/>
  <c r="T7"/>
  <c r="T17"/>
  <c r="V14"/>
  <c r="Z8"/>
  <c r="W14"/>
  <c r="U7"/>
  <c r="U16"/>
  <c r="W12"/>
  <c r="T6"/>
  <c r="T14"/>
  <c r="X14"/>
  <c r="V10"/>
  <c r="Y8"/>
  <c r="Y10"/>
  <c r="U17"/>
  <c r="W10"/>
  <c r="T12"/>
  <c r="U10"/>
</calcChain>
</file>

<file path=xl/sharedStrings.xml><?xml version="1.0" encoding="utf-8"?>
<sst xmlns="http://schemas.openxmlformats.org/spreadsheetml/2006/main" count="231" uniqueCount="160">
  <si>
    <t>日</t>
    <rPh sb="0" eb="1">
      <t>ニチ</t>
    </rPh>
    <phoneticPr fontId="1"/>
  </si>
  <si>
    <t>シリアル値による年月日</t>
    <rPh sb="4" eb="5">
      <t>チ</t>
    </rPh>
    <rPh sb="8" eb="11">
      <t>ネンガッピ</t>
    </rPh>
    <phoneticPr fontId="1"/>
  </si>
  <si>
    <t>シリアル値の日</t>
    <rPh sb="4" eb="5">
      <t>チ</t>
    </rPh>
    <rPh sb="6" eb="7">
      <t>ニチ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</si>
  <si>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</si>
  <si>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</si>
  <si>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</si>
  <si>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</si>
  <si>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</si>
  <si>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</si>
  <si>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</si>
  <si>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1段</t>
    <rPh sb="1" eb="2">
      <t>ダン</t>
    </rPh>
    <phoneticPr fontId="1"/>
  </si>
  <si>
    <t>2段</t>
    <rPh sb="1" eb="2">
      <t>ダン</t>
    </rPh>
    <phoneticPr fontId="1"/>
  </si>
  <si>
    <t>3段</t>
    <rPh sb="1" eb="2">
      <t>ダン</t>
    </rPh>
    <phoneticPr fontId="1"/>
  </si>
  <si>
    <t>4段</t>
    <rPh sb="1" eb="2">
      <t>ダン</t>
    </rPh>
    <phoneticPr fontId="1"/>
  </si>
  <si>
    <t>5段</t>
    <rPh sb="1" eb="2">
      <t>ダン</t>
    </rPh>
    <phoneticPr fontId="1"/>
  </si>
  <si>
    <t>仮の日</t>
    <rPh sb="0" eb="1">
      <t>カリ</t>
    </rPh>
    <rPh sb="2" eb="3">
      <t>ヒ</t>
    </rPh>
    <phoneticPr fontId="1"/>
  </si>
  <si>
    <t>シリアル値の曜日の数字</t>
    <phoneticPr fontId="1"/>
  </si>
  <si>
    <t>段</t>
    <rPh sb="0" eb="1">
      <t>ダン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</si>
  <si>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</si>
  <si>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</si>
  <si>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</si>
  <si>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</si>
  <si>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</si>
  <si>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</si>
  <si>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</si>
  <si>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週</t>
    <rPh sb="0" eb="1">
      <t>シュウ</t>
    </rPh>
    <phoneticPr fontId="1"/>
  </si>
  <si>
    <t>一般ゴミ</t>
    <rPh sb="0" eb="2">
      <t>イッパン</t>
    </rPh>
    <phoneticPr fontId="1"/>
  </si>
  <si>
    <t>金属ゴミ</t>
    <rPh sb="0" eb="2">
      <t>キンゾク</t>
    </rPh>
    <phoneticPr fontId="1"/>
  </si>
  <si>
    <t>粗大ゴミ</t>
    <rPh sb="0" eb="2">
      <t>ソダイ</t>
    </rPh>
    <phoneticPr fontId="1"/>
  </si>
  <si>
    <t>有害・危険ゴミ</t>
    <rPh sb="0" eb="2">
      <t>ユウガイ</t>
    </rPh>
    <rPh sb="3" eb="5">
      <t>キケン</t>
    </rPh>
    <phoneticPr fontId="1"/>
  </si>
  <si>
    <t>プラスチック</t>
    <phoneticPr fontId="1"/>
  </si>
  <si>
    <t>紙布</t>
    <rPh sb="0" eb="1">
      <t>カミ</t>
    </rPh>
    <rPh sb="1" eb="2">
      <t>ヌノ</t>
    </rPh>
    <phoneticPr fontId="1"/>
  </si>
  <si>
    <t>6段</t>
    <rPh sb="1" eb="2">
      <t>ダン</t>
    </rPh>
    <phoneticPr fontId="1"/>
  </si>
  <si>
    <t>ビン・カン類</t>
    <rPh sb="5" eb="6">
      <t>ルイ</t>
    </rPh>
    <phoneticPr fontId="1"/>
  </si>
  <si>
    <t>ペットボトル</t>
    <phoneticPr fontId="1"/>
  </si>
  <si>
    <t>帯タイプ</t>
    <rPh sb="0" eb="1">
      <t>オビ</t>
    </rPh>
    <phoneticPr fontId="1"/>
  </si>
  <si>
    <t>箱タイプ</t>
    <rPh sb="0" eb="1">
      <t>ハコ</t>
    </rPh>
    <phoneticPr fontId="1"/>
  </si>
  <si>
    <t>文字結合／</t>
    <rPh sb="0" eb="2">
      <t>モジ</t>
    </rPh>
    <rPh sb="2" eb="4">
      <t>ケツゴウ</t>
    </rPh>
    <phoneticPr fontId="1"/>
  </si>
  <si>
    <t>週曜番号</t>
    <rPh sb="0" eb="1">
      <t>シュウ</t>
    </rPh>
    <rPh sb="1" eb="2">
      <t>ヨウ</t>
    </rPh>
    <rPh sb="2" eb="4">
      <t>バンゴウ</t>
    </rPh>
    <phoneticPr fontId="1"/>
  </si>
  <si>
    <t>収集ゴミの種類</t>
    <rPh sb="0" eb="2">
      <t>シュウシュウ</t>
    </rPh>
    <rPh sb="5" eb="7">
      <t>シュルイ</t>
    </rPh>
    <phoneticPr fontId="1"/>
  </si>
  <si>
    <t>段曜番号</t>
    <rPh sb="0" eb="1">
      <t>ダン</t>
    </rPh>
    <rPh sb="1" eb="2">
      <t>ヨウ</t>
    </rPh>
    <rPh sb="2" eb="4">
      <t>バンゴウ</t>
    </rPh>
    <phoneticPr fontId="1"/>
  </si>
  <si>
    <t>明治：明治元年1月1日(1868年1月25日) ～ 明治45年(1912年) 7月30日</t>
  </si>
  <si>
    <t>・明治元年～明治30年は、西暦で表示します。</t>
  </si>
  <si>
    <t>・明治と大正、大正と昭和の切り替わりの日は、重なっています。</t>
  </si>
  <si>
    <t>・慶応4年9月8日(1868年10月23日)：明治天皇の即位による代始改元</t>
  </si>
  <si>
    <t>・遡って、慶応4年1月1日を明治元年1月1日としました。</t>
  </si>
  <si>
    <t>・明治5年12月2日までは、天保暦(旧暦、太陰太陽暦)が使用されていました。</t>
  </si>
  <si>
    <t>・太陽暦が採用され、明治5年12月3日(天保暦)を明治6年(1873年)1月1日としました。</t>
  </si>
  <si>
    <t>・1900年は、閏年になっています。</t>
  </si>
  <si>
    <t>・明治31年に、完全なグレゴリオ暦が採用されました。</t>
  </si>
  <si>
    <t>大正：大正元年(1912年) 7月30日～ 大正15年(1926年)12月25日</t>
  </si>
  <si>
    <t>昭和：昭和元年(1926年)12月25日～ 昭和64年(1989年) 1月 7日</t>
  </si>
  <si>
    <t>平成：平成元年(1989年) 1月 8日～</t>
  </si>
  <si>
    <t>http://www2s.biglobe.ne.jp/~law/law/ldb/S23H0178.htm</t>
  </si>
  <si>
    <t>http://law.e-gov.go.jp/htmldata/S23/S23HO178.html</t>
  </si>
  <si>
    <t>http://www8.cao.go.jp/chosei/shukujitsu/gaiyou.html</t>
  </si>
  <si>
    <t>http://ja.wikipedia.org/wiki/%E7%A5%9D%E6%97%A5%E6%B3%95</t>
  </si>
  <si>
    <t>休日の変遷 http://homepage1.nifty.com/gyouseinet/kyujitsu.htm</t>
  </si>
  <si>
    <t>昭和23年 7月20日　法律第178号</t>
  </si>
  <si>
    <t>昭和41年 6月25日　法律第86号</t>
  </si>
  <si>
    <t>昭和48年 4月12日　法律第10号</t>
  </si>
  <si>
    <t>昭和60年12月27日　法律第103号</t>
  </si>
  <si>
    <t>平成元年 2月17日　法律第5号</t>
  </si>
  <si>
    <t>平成 7年 3月 8日　法律第22号</t>
  </si>
  <si>
    <t>平成10年10月21日　法律第141号</t>
  </si>
  <si>
    <t>平成13年 6月22日　法律第59号</t>
  </si>
  <si>
    <t>平成17年 5月20日　法律第43号</t>
  </si>
  <si>
    <t>昭和34年 3月17日　法律第16号</t>
  </si>
  <si>
    <t>平成元年 2月17日　法律第4号</t>
  </si>
  <si>
    <t>平成 2年 6月 1日　法律第24号</t>
  </si>
  <si>
    <t>平成 5年 4月30日　法律第32号</t>
  </si>
  <si>
    <t>平成26年 5月30日　法律第43号</t>
  </si>
  <si>
    <t>5月6日の振替休日</t>
  </si>
  <si>
    <t>　5月3日(金) 5月4日(土) 5月5日(日) 5月6日(月)</t>
  </si>
  <si>
    <t>　5月3日(土) 5月4日(日) 5月5日(月) 5月6日(火)</t>
  </si>
  <si>
    <t>　5月3日(日) 5月4日(月) 5月5日(火) 5月6日(水)</t>
  </si>
  <si>
    <t>9月21日(月)敬老の日</t>
  </si>
  <si>
    <t>9月22日(火)・・・国民の休日</t>
  </si>
  <si>
    <t>9月23日(水)秋分の日</t>
  </si>
  <si>
    <t>▼年号</t>
    <phoneticPr fontId="1"/>
  </si>
  <si>
    <t>▼国民の祝日について</t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</si>
  <si>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</si>
  <si>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</si>
  <si>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1月第2月曜日</t>
    <phoneticPr fontId="1"/>
  </si>
  <si>
    <t>8～14</t>
    <phoneticPr fontId="1"/>
  </si>
  <si>
    <t>建国記念の日</t>
    <phoneticPr fontId="1"/>
  </si>
  <si>
    <t>月</t>
    <rPh sb="0" eb="1">
      <t>ツキ</t>
    </rPh>
    <phoneticPr fontId="1"/>
  </si>
  <si>
    <t>春分日</t>
    <phoneticPr fontId="1"/>
  </si>
  <si>
    <t>3月20日or21日</t>
    <phoneticPr fontId="1"/>
  </si>
  <si>
    <t>昭和の日</t>
    <rPh sb="0" eb="2">
      <t>ショウワ</t>
    </rPh>
    <rPh sb="3" eb="4">
      <t>ヒ</t>
    </rPh>
    <phoneticPr fontId="1"/>
  </si>
  <si>
    <t>憲法記念日</t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</si>
  <si>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</si>
  <si>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</si>
  <si>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月火水</t>
    <rPh sb="0" eb="1">
      <t>ゲツ</t>
    </rPh>
    <rPh sb="1" eb="2">
      <t>カ</t>
    </rPh>
    <rPh sb="2" eb="3">
      <t>スイ</t>
    </rPh>
    <phoneticPr fontId="1"/>
  </si>
  <si>
    <t>振替休日</t>
    <rPh sb="0" eb="4">
      <t>フリカエキュウジツ</t>
    </rPh>
    <phoneticPr fontId="1"/>
  </si>
  <si>
    <t>7月第3月曜日</t>
    <phoneticPr fontId="1"/>
  </si>
  <si>
    <t>15～21</t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</si>
  <si>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</si>
  <si>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</si>
  <si>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9月22日or23日</t>
    <phoneticPr fontId="1"/>
  </si>
  <si>
    <t>秋分の日</t>
    <rPh sb="0" eb="2">
      <t>シュウブン</t>
    </rPh>
    <rPh sb="3" eb="4">
      <t>ヒ</t>
    </rPh>
    <phoneticPr fontId="1"/>
  </si>
  <si>
    <t>敬老の日</t>
    <phoneticPr fontId="1"/>
  </si>
  <si>
    <t>9月第3月曜日</t>
    <phoneticPr fontId="1"/>
  </si>
  <si>
    <t>国民の休日</t>
    <phoneticPr fontId="1"/>
  </si>
  <si>
    <t>10月第2月曜日</t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</si>
  <si>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</si>
  <si>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</si>
  <si>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祝日</t>
    <rPh sb="0" eb="2">
      <t>シュクジツ</t>
    </rPh>
    <phoneticPr fontId="1"/>
  </si>
  <si>
    <t>休日の名称</t>
    <rPh sb="0" eb="2">
      <t>キュウジツ</t>
    </rPh>
    <rPh sb="3" eb="5">
      <t>メイショウ</t>
    </rPh>
    <phoneticPr fontId="1"/>
  </si>
  <si>
    <t>勤労感謝の日</t>
    <phoneticPr fontId="1"/>
  </si>
  <si>
    <t>天皇誕生日</t>
    <phoneticPr fontId="1"/>
  </si>
  <si>
    <t>20 or 21</t>
    <phoneticPr fontId="1"/>
  </si>
  <si>
    <t>22 or 23</t>
    <phoneticPr fontId="1"/>
  </si>
  <si>
    <t>休日</t>
    <rPh sb="0" eb="2">
      <t>キュウジツ</t>
    </rPh>
    <phoneticPr fontId="1"/>
  </si>
  <si>
    <t>定義</t>
    <rPh sb="0" eb="2">
      <t>テイギ</t>
    </rPh>
    <phoneticPr fontId="1"/>
  </si>
  <si>
    <t>日</t>
    <rPh sb="0" eb="1">
      <t>ヒ</t>
    </rPh>
    <phoneticPr fontId="1"/>
  </si>
  <si>
    <t>実際</t>
    <rPh sb="0" eb="2">
      <t>ジッサイ</t>
    </rPh>
    <phoneticPr fontId="1"/>
  </si>
  <si>
    <t>※三連休の振替休日</t>
    <rPh sb="1" eb="4">
      <t>サンレンキュウ</t>
    </rPh>
    <rPh sb="5" eb="9">
      <t>フリカエキュウジツ</t>
    </rPh>
    <phoneticPr fontId="1"/>
  </si>
  <si>
    <t>※国民の祝日に挟まれて休日</t>
    <phoneticPr fontId="1"/>
  </si>
  <si>
    <t>1日の曜日</t>
    <rPh sb="1" eb="2">
      <t>ニチ</t>
    </rPh>
    <rPh sb="3" eb="5">
      <t>ヨウビ</t>
    </rPh>
    <phoneticPr fontId="1"/>
  </si>
  <si>
    <t>春分の日+1</t>
    <rPh sb="0" eb="2">
      <t>シュンブン</t>
    </rPh>
    <rPh sb="3" eb="4">
      <t>ヒ</t>
    </rPh>
    <phoneticPr fontId="1"/>
  </si>
  <si>
    <t>秋分の日+1</t>
    <rPh sb="0" eb="2">
      <t>シュウブン</t>
    </rPh>
    <rPh sb="3" eb="4">
      <t>ヒ</t>
    </rPh>
    <phoneticPr fontId="1"/>
  </si>
  <si>
    <t>2月11日</t>
    <rPh sb="1" eb="2">
      <t>ガツ</t>
    </rPh>
    <rPh sb="4" eb="5">
      <t>ニチ</t>
    </rPh>
    <phoneticPr fontId="1"/>
  </si>
  <si>
    <t>1月1日</t>
    <rPh sb="1" eb="2">
      <t>ガツ</t>
    </rPh>
    <rPh sb="3" eb="4">
      <t>ニチ</t>
    </rPh>
    <phoneticPr fontId="1"/>
  </si>
  <si>
    <t>5月3日</t>
    <rPh sb="1" eb="2">
      <t>ガツ</t>
    </rPh>
    <rPh sb="3" eb="4">
      <t>ニチ</t>
    </rPh>
    <phoneticPr fontId="1"/>
  </si>
  <si>
    <t>5月4日</t>
    <rPh sb="1" eb="2">
      <t>ガツ</t>
    </rPh>
    <rPh sb="3" eb="4">
      <t>ニチ</t>
    </rPh>
    <phoneticPr fontId="1"/>
  </si>
  <si>
    <t>5月5日</t>
    <rPh sb="1" eb="2">
      <t>ガツ</t>
    </rPh>
    <rPh sb="3" eb="4">
      <t>ニチ</t>
    </rPh>
    <phoneticPr fontId="1"/>
  </si>
  <si>
    <t>8月11日</t>
    <rPh sb="1" eb="2">
      <t>ガツ</t>
    </rPh>
    <rPh sb="4" eb="5">
      <t>ニチ</t>
    </rPh>
    <phoneticPr fontId="1"/>
  </si>
  <si>
    <t>11月3日</t>
    <rPh sb="2" eb="3">
      <t>ガツ</t>
    </rPh>
    <rPh sb="4" eb="5">
      <t>ニチ</t>
    </rPh>
    <phoneticPr fontId="1"/>
  </si>
  <si>
    <t>11月23日</t>
    <rPh sb="2" eb="3">
      <t>ガツ</t>
    </rPh>
    <rPh sb="5" eb="6">
      <t>ニチ</t>
    </rPh>
    <phoneticPr fontId="1"/>
  </si>
  <si>
    <t>12月23日</t>
    <rPh sb="2" eb="3">
      <t>ガツ</t>
    </rPh>
    <rPh sb="5" eb="6">
      <t>ニチ</t>
    </rPh>
    <phoneticPr fontId="1"/>
  </si>
  <si>
    <t>↑</t>
    <phoneticPr fontId="1"/>
  </si>
  <si>
    <t>この年の祝日の数</t>
    <rPh sb="2" eb="3">
      <t>トシ</t>
    </rPh>
    <rPh sb="4" eb="6">
      <t>シュクジツ</t>
    </rPh>
    <rPh sb="7" eb="8">
      <t>カズ</t>
    </rPh>
    <phoneticPr fontId="1"/>
  </si>
  <si>
    <t>=FLOOR(23.2488 + 0.242194*(年-1980)-FLOOR((年-1980)/4,1),1)</t>
    <phoneticPr fontId="1"/>
  </si>
  <si>
    <t>=FLOOR(20.8431 + 0.242194*(年-1980)-FLOOR((年-1980)/4,1),1)</t>
    <phoneticPr fontId="1"/>
  </si>
  <si>
    <t>月日番号</t>
    <rPh sb="0" eb="1">
      <t>ツキ</t>
    </rPh>
    <rPh sb="1" eb="2">
      <t>ニチ</t>
    </rPh>
    <rPh sb="2" eb="4">
      <t>バンゴウ</t>
    </rPh>
    <phoneticPr fontId="1"/>
  </si>
  <si>
    <t>4月29日</t>
    <rPh sb="1" eb="2">
      <t>ガツ</t>
    </rPh>
    <rPh sb="4" eb="5">
      <t>ニチ</t>
    </rPh>
    <phoneticPr fontId="1"/>
  </si>
  <si>
    <t>休日を加味</t>
    <rPh sb="0" eb="2">
      <t>キュウジツ</t>
    </rPh>
    <rPh sb="3" eb="5">
      <t>カミ</t>
    </rPh>
    <phoneticPr fontId="1"/>
  </si>
  <si>
    <t>※祝日は、『一般ゴミ』のみ収集します。</t>
    <rPh sb="1" eb="3">
      <t>シュクジツ</t>
    </rPh>
    <rPh sb="6" eb="8">
      <t>イッパン</t>
    </rPh>
    <rPh sb="13" eb="15">
      <t>シュウシュウ</t>
    </rPh>
    <phoneticPr fontId="1"/>
  </si>
  <si>
    <t>月のリスト</t>
    <rPh sb="0" eb="1">
      <t>ツキ</t>
    </rPh>
    <phoneticPr fontId="1"/>
  </si>
  <si>
    <t>※年末年始などは、収集が異なりますので、ご注意下さい。</t>
    <rPh sb="1" eb="3">
      <t>ネンマツ</t>
    </rPh>
    <rPh sb="3" eb="5">
      <t>ネンシ</t>
    </rPh>
    <rPh sb="9" eb="11">
      <t>シュウシュウ</t>
    </rPh>
    <rPh sb="12" eb="13">
      <t>コト</t>
    </rPh>
    <rPh sb="21" eb="23">
      <t>チュウイ</t>
    </rPh>
    <rPh sb="23" eb="24">
      <t>クダ</t>
    </rPh>
    <phoneticPr fontId="1"/>
  </si>
  <si>
    <t>月日番号</t>
    <rPh sb="0" eb="1">
      <t>ゲツ</t>
    </rPh>
    <rPh sb="1" eb="2">
      <t>ニチ</t>
    </rPh>
    <rPh sb="2" eb="4">
      <t>バンゴウ</t>
    </rPh>
    <phoneticPr fontId="1"/>
  </si>
  <si>
    <t>赤</t>
    <rPh sb="0" eb="1">
      <t>アカ</t>
    </rPh>
    <phoneticPr fontId="1"/>
  </si>
  <si>
    <t>整数、2017～2099</t>
    <rPh sb="0" eb="2">
      <t>セイスウ</t>
    </rPh>
    <phoneticPr fontId="1"/>
  </si>
  <si>
    <t>入力規則</t>
  </si>
  <si>
    <t>年の範囲</t>
    <rPh sb="0" eb="1">
      <t>ネン</t>
    </rPh>
    <rPh sb="2" eb="4">
      <t>ハンイ</t>
    </rPh>
    <phoneticPr fontId="1"/>
  </si>
  <si>
    <t>年月日</t>
    <rPh sb="0" eb="3">
      <t>ネンガッピ</t>
    </rPh>
    <phoneticPr fontId="1"/>
  </si>
  <si>
    <t>特別な日</t>
    <rPh sb="0" eb="2">
      <t>トクベツ</t>
    </rPh>
    <rPh sb="3" eb="4">
      <t>ヒ</t>
    </rPh>
    <phoneticPr fontId="1"/>
  </si>
  <si>
    <t>特別な日も加味</t>
    <rPh sb="0" eb="2">
      <t>トクベツ</t>
    </rPh>
    <rPh sb="3" eb="4">
      <t>ヒ</t>
    </rPh>
    <rPh sb="5" eb="7">
      <t>カミ</t>
    </rPh>
    <phoneticPr fontId="1"/>
  </si>
  <si>
    <t>←［=収集ゴミのカレンダー!$T$3］を参照しています。</t>
    <rPh sb="20" eb="22">
      <t>サンショウ</t>
    </rPh>
    <phoneticPr fontId="1"/>
  </si>
  <si>
    <t>・なお、不要になった年月日の行のデータを、消去しておいて下さい。</t>
    <rPh sb="4" eb="6">
      <t>フヨウ</t>
    </rPh>
    <rPh sb="10" eb="13">
      <t>ネンガッピ</t>
    </rPh>
    <rPh sb="14" eb="15">
      <t>ギョウ</t>
    </rPh>
    <rPh sb="21" eb="23">
      <t>ショウキョ</t>
    </rPh>
    <rPh sb="28" eb="29">
      <t>クダ</t>
    </rPh>
    <phoneticPr fontId="1"/>
  </si>
  <si>
    <t>○入力した年月日の収集ゴミの種類が、カレンダーで上書きされます。</t>
    <rPh sb="1" eb="3">
      <t>ニュウリョク</t>
    </rPh>
    <rPh sb="5" eb="8">
      <t>ネンガッピ</t>
    </rPh>
    <rPh sb="9" eb="11">
      <t>シュウシュウ</t>
    </rPh>
    <rPh sb="14" eb="16">
      <t>シュルイ</t>
    </rPh>
    <rPh sb="24" eb="26">
      <t>ウワガ</t>
    </rPh>
    <phoneticPr fontId="1"/>
  </si>
  <si>
    <t>振替休日</t>
    <rPh sb="0" eb="2">
      <t>フリカエ</t>
    </rPh>
    <rPh sb="2" eb="4">
      <t>キュウジツ</t>
    </rPh>
    <phoneticPr fontId="1"/>
  </si>
  <si>
    <t>ゴミの日</t>
    <rPh sb="3" eb="4">
      <t>ヒ</t>
    </rPh>
    <phoneticPr fontId="1"/>
  </si>
  <si>
    <r>
      <t>・年月日は、2017/12/15のように、</t>
    </r>
    <r>
      <rPr>
        <sz val="11"/>
        <color rgb="FFFF0000"/>
        <rFont val="ＭＳ Ｐゴシック"/>
        <family val="3"/>
        <charset val="128"/>
        <scheme val="minor"/>
      </rPr>
      <t>年/月/日</t>
    </r>
    <r>
      <rPr>
        <sz val="11"/>
        <color theme="1"/>
        <rFont val="ＭＳ Ｐゴシック"/>
        <family val="2"/>
        <charset val="128"/>
        <scheme val="minor"/>
      </rPr>
      <t>で入力して下さい。曜日は自動で入力されます。</t>
    </r>
    <rPh sb="1" eb="4">
      <t>ネンガッピ</t>
    </rPh>
    <rPh sb="21" eb="22">
      <t>ネン</t>
    </rPh>
    <rPh sb="23" eb="24">
      <t>ツキ</t>
    </rPh>
    <rPh sb="25" eb="26">
      <t>ニチ</t>
    </rPh>
    <rPh sb="27" eb="29">
      <t>ニュウリョク</t>
    </rPh>
    <rPh sb="31" eb="32">
      <t>クダ</t>
    </rPh>
    <rPh sb="35" eb="37">
      <t>ヨウビ</t>
    </rPh>
    <rPh sb="38" eb="40">
      <t>ジドウ</t>
    </rPh>
    <rPh sb="41" eb="43">
      <t>ニュウリョク</t>
    </rPh>
    <phoneticPr fontId="1"/>
  </si>
  <si>
    <r>
      <t>・年月日は、上から詰めて、</t>
    </r>
    <r>
      <rPr>
        <sz val="11"/>
        <color rgb="FFFF0000"/>
        <rFont val="ＭＳ Ｐゴシック"/>
        <family val="3"/>
        <charset val="128"/>
        <scheme val="minor"/>
      </rPr>
      <t>昇順</t>
    </r>
    <r>
      <rPr>
        <sz val="11"/>
        <color theme="1"/>
        <rFont val="ＭＳ Ｐゴシック"/>
        <family val="2"/>
        <charset val="128"/>
        <scheme val="minor"/>
      </rPr>
      <t>に入力して下さい。</t>
    </r>
    <rPh sb="1" eb="4">
      <t>ネンガッピ</t>
    </rPh>
    <rPh sb="6" eb="7">
      <t>ウエ</t>
    </rPh>
    <rPh sb="9" eb="10">
      <t>ツ</t>
    </rPh>
    <rPh sb="13" eb="15">
      <t>ショウジュン</t>
    </rPh>
    <rPh sb="16" eb="18">
      <t>ニュウリョク</t>
    </rPh>
    <rPh sb="20" eb="21">
      <t>クダ</t>
    </rPh>
    <phoneticPr fontId="1"/>
  </si>
  <si>
    <r>
      <t>・収集ゴミの種類に、</t>
    </r>
    <r>
      <rPr>
        <sz val="11"/>
        <color rgb="FFFF0000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を入力して下さい。</t>
    </r>
    <rPh sb="1" eb="3">
      <t>シュウシュウ</t>
    </rPh>
    <rPh sb="6" eb="8">
      <t>シュルイ</t>
    </rPh>
    <rPh sb="12" eb="14">
      <t>ニュウリョク</t>
    </rPh>
    <rPh sb="16" eb="17">
      <t>クダ</t>
    </rPh>
    <phoneticPr fontId="1"/>
  </si>
  <si>
    <r>
      <t>・回収無しの場合は、収集ゴミの種類をすべての</t>
    </r>
    <r>
      <rPr>
        <sz val="11"/>
        <color rgb="FFFF0000"/>
        <rFont val="ＭＳ Ｐゴシック"/>
        <family val="3"/>
        <charset val="128"/>
        <scheme val="minor"/>
      </rPr>
      <t>空白</t>
    </r>
    <r>
      <rPr>
        <sz val="11"/>
        <color theme="1"/>
        <rFont val="ＭＳ Ｐゴシック"/>
        <family val="2"/>
        <charset val="128"/>
        <scheme val="minor"/>
      </rPr>
      <t>にして下さい。</t>
    </r>
    <rPh sb="1" eb="3">
      <t>カイシュウ</t>
    </rPh>
    <rPh sb="3" eb="4">
      <t>ナ</t>
    </rPh>
    <rPh sb="6" eb="8">
      <t>バアイ</t>
    </rPh>
    <rPh sb="10" eb="12">
      <t>シュウシュウ</t>
    </rPh>
    <rPh sb="15" eb="17">
      <t>シュルイ</t>
    </rPh>
    <rPh sb="22" eb="24">
      <t>クウハク</t>
    </rPh>
    <rPh sb="27" eb="28">
      <t>クダ</t>
    </rPh>
    <phoneticPr fontId="1"/>
  </si>
  <si>
    <t>年末年始などゴミ収集が特別な日</t>
    <rPh sb="0" eb="2">
      <t>ネンマツ</t>
    </rPh>
    <rPh sb="2" eb="4">
      <t>ネンシ</t>
    </rPh>
    <rPh sb="8" eb="10">
      <t>シュウシュウ</t>
    </rPh>
    <rPh sb="11" eb="13">
      <t>トクベツ</t>
    </rPh>
    <rPh sb="14" eb="15">
      <t>ヒ</t>
    </rPh>
    <phoneticPr fontId="1"/>
  </si>
  <si>
    <t>ゴミステーション名</t>
    <rPh sb="8" eb="9">
      <t>メイ</t>
    </rPh>
    <phoneticPr fontId="1"/>
  </si>
</sst>
</file>

<file path=xl/styles.xml><?xml version="1.0" encoding="utf-8"?>
<styleSheet xmlns="http://schemas.openxmlformats.org/spreadsheetml/2006/main">
  <numFmts count="3">
    <numFmt numFmtId="176" formatCode="0&quot;年&quot;"/>
    <numFmt numFmtId="177" formatCode="0&quot;月&quot;"/>
    <numFmt numFmtId="178" formatCode="aaa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Protection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0" borderId="1" xfId="0" applyBorder="1" applyAlignment="1">
      <alignment vertical="center"/>
    </xf>
    <xf numFmtId="176" fontId="4" fillId="6" borderId="0" xfId="0" applyNumberFormat="1" applyFont="1" applyFill="1" applyProtection="1">
      <alignment vertical="center"/>
      <protection locked="0"/>
    </xf>
    <xf numFmtId="177" fontId="4" fillId="6" borderId="0" xfId="0" applyNumberFormat="1" applyFont="1" applyFill="1" applyProtection="1">
      <alignment vertical="center"/>
      <protection locked="0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NumberFormat="1" applyAlignment="1">
      <alignment horizontal="left" vertical="center"/>
    </xf>
    <xf numFmtId="0" fontId="0" fillId="0" borderId="1" xfId="0" quotePrefix="1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8" borderId="1" xfId="0" applyNumberFormat="1" applyFill="1" applyBorder="1" applyAlignment="1">
      <alignment horizontal="left" vertical="center"/>
    </xf>
    <xf numFmtId="0" fontId="0" fillId="8" borderId="1" xfId="0" applyNumberForma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0" fontId="0" fillId="0" borderId="0" xfId="0" applyNumberFormat="1" applyProtection="1">
      <alignment vertical="center"/>
    </xf>
    <xf numFmtId="0" fontId="0" fillId="0" borderId="1" xfId="0" applyNumberFormat="1" applyBorder="1" applyProtection="1">
      <alignment vertical="center"/>
    </xf>
    <xf numFmtId="0" fontId="0" fillId="3" borderId="0" xfId="0" applyNumberFormat="1" applyFill="1" applyBorder="1" applyProtection="1">
      <alignment vertical="center"/>
    </xf>
    <xf numFmtId="0" fontId="0" fillId="3" borderId="1" xfId="0" applyNumberFormat="1" applyFill="1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vertical="top" wrapText="1"/>
    </xf>
    <xf numFmtId="0" fontId="3" fillId="4" borderId="15" xfId="0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7" fillId="4" borderId="6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top"/>
    </xf>
    <xf numFmtId="0" fontId="7" fillId="10" borderId="6" xfId="0" applyFont="1" applyFill="1" applyBorder="1" applyAlignment="1" applyProtection="1">
      <alignment horizontal="left" vertical="top"/>
    </xf>
    <xf numFmtId="0" fontId="3" fillId="10" borderId="15" xfId="0" applyFont="1" applyFill="1" applyBorder="1" applyAlignment="1" applyProtection="1">
      <alignment vertical="top" wrapText="1"/>
    </xf>
    <xf numFmtId="0" fontId="7" fillId="10" borderId="6" xfId="0" applyFont="1" applyFill="1" applyBorder="1" applyAlignment="1" applyProtection="1">
      <alignment horizontal="left" vertical="top" wrapText="1"/>
    </xf>
    <xf numFmtId="0" fontId="9" fillId="4" borderId="6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10" xfId="0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11" xfId="0" applyFill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NumberFormat="1" applyBorder="1" applyProtection="1">
      <alignment vertical="center"/>
    </xf>
    <xf numFmtId="0" fontId="0" fillId="3" borderId="17" xfId="0" applyNumberFormat="1" applyFill="1" applyBorder="1" applyProtection="1">
      <alignment vertical="center"/>
    </xf>
    <xf numFmtId="0" fontId="0" fillId="3" borderId="13" xfId="0" applyNumberFormat="1" applyFill="1" applyBorder="1" applyProtection="1">
      <alignment vertical="center"/>
    </xf>
    <xf numFmtId="0" fontId="0" fillId="5" borderId="17" xfId="0" applyFill="1" applyBorder="1" applyProtection="1">
      <alignment vertical="center"/>
    </xf>
    <xf numFmtId="0" fontId="0" fillId="5" borderId="14" xfId="0" applyFill="1" applyBorder="1" applyProtection="1">
      <alignment vertical="center"/>
    </xf>
    <xf numFmtId="0" fontId="11" fillId="0" borderId="0" xfId="0" applyFont="1" applyAlignment="1">
      <alignment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178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10" borderId="0" xfId="0" applyFont="1" applyFill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0" fontId="10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vertical="center"/>
    </xf>
    <xf numFmtId="0" fontId="0" fillId="10" borderId="18" xfId="0" applyFill="1" applyBorder="1" applyAlignment="1" applyProtection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99FF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6"/>
  <sheetViews>
    <sheetView tabSelected="1" zoomScaleNormal="100" workbookViewId="0">
      <selection activeCell="U3" sqref="U3"/>
    </sheetView>
  </sheetViews>
  <sheetFormatPr defaultRowHeight="13.5"/>
  <cols>
    <col min="1" max="1" width="1" style="42" customWidth="1"/>
    <col min="2" max="2" width="7.75" style="42" hidden="1" customWidth="1"/>
    <col min="3" max="3" width="23.75" style="42" hidden="1" customWidth="1"/>
    <col min="4" max="4" width="15.5" style="42" hidden="1" customWidth="1"/>
    <col min="5" max="5" width="24.5" style="42" hidden="1" customWidth="1"/>
    <col min="6" max="6" width="6.125" style="43" hidden="1" customWidth="1"/>
    <col min="7" max="7" width="9.875" style="43" hidden="1" customWidth="1"/>
    <col min="8" max="8" width="3.75" style="42" hidden="1" customWidth="1"/>
    <col min="9" max="9" width="10" style="42" hidden="1" customWidth="1"/>
    <col min="10" max="10" width="6.25" style="42" hidden="1" customWidth="1"/>
    <col min="11" max="12" width="3.875" style="42" hidden="1" customWidth="1"/>
    <col min="13" max="13" width="9.875" style="42" hidden="1" customWidth="1"/>
    <col min="14" max="17" width="23.25" style="42" hidden="1" customWidth="1"/>
    <col min="18" max="19" width="9" style="42" hidden="1" customWidth="1"/>
    <col min="20" max="26" width="18" style="42" customWidth="1"/>
    <col min="27" max="16384" width="9" style="42"/>
  </cols>
  <sheetData>
    <row r="1" spans="2:26" ht="28.5">
      <c r="T1" s="105" t="s">
        <v>159</v>
      </c>
      <c r="U1" s="105"/>
      <c r="V1" s="105"/>
      <c r="W1" s="105"/>
      <c r="X1" s="105"/>
      <c r="Y1" s="105"/>
      <c r="Z1" s="105"/>
    </row>
    <row r="2" spans="2:26">
      <c r="T2" s="106"/>
      <c r="U2" s="106"/>
      <c r="V2" s="106"/>
      <c r="W2" s="106"/>
      <c r="X2" s="106"/>
      <c r="Y2" s="106"/>
      <c r="Z2" s="106"/>
    </row>
    <row r="3" spans="2:26" ht="28.5">
      <c r="T3" s="16">
        <v>2017</v>
      </c>
      <c r="U3" s="17">
        <v>3</v>
      </c>
      <c r="V3" s="106"/>
      <c r="W3" s="106"/>
      <c r="X3" s="106"/>
      <c r="Y3" s="106"/>
      <c r="Z3" s="106"/>
    </row>
    <row r="4" spans="2:26" ht="14.25" thickBot="1">
      <c r="T4" s="107"/>
      <c r="U4" s="107"/>
      <c r="V4" s="107"/>
      <c r="W4" s="107"/>
      <c r="X4" s="107"/>
      <c r="Y4" s="107"/>
      <c r="Z4" s="107"/>
    </row>
    <row r="5" spans="2:26" s="47" customFormat="1" ht="24" customHeight="1">
      <c r="B5" s="44" t="s">
        <v>15</v>
      </c>
      <c r="C5" s="44" t="s">
        <v>1</v>
      </c>
      <c r="D5" s="44" t="s">
        <v>2</v>
      </c>
      <c r="E5" s="44" t="s">
        <v>16</v>
      </c>
      <c r="F5" s="45" t="s">
        <v>17</v>
      </c>
      <c r="G5" s="68" t="s">
        <v>40</v>
      </c>
      <c r="H5" s="69" t="s">
        <v>0</v>
      </c>
      <c r="I5" s="70" t="s">
        <v>135</v>
      </c>
      <c r="J5" s="70" t="s">
        <v>113</v>
      </c>
      <c r="K5" s="69" t="s">
        <v>142</v>
      </c>
      <c r="L5" s="70" t="s">
        <v>25</v>
      </c>
      <c r="M5" s="70" t="s">
        <v>38</v>
      </c>
      <c r="N5" s="70" t="s">
        <v>39</v>
      </c>
      <c r="O5" s="70" t="s">
        <v>137</v>
      </c>
      <c r="P5" s="70" t="s">
        <v>147</v>
      </c>
      <c r="Q5" s="71" t="s">
        <v>148</v>
      </c>
      <c r="R5" s="46"/>
      <c r="T5" s="56" t="s">
        <v>0</v>
      </c>
      <c r="U5" s="62" t="s">
        <v>4</v>
      </c>
      <c r="V5" s="62" t="s">
        <v>5</v>
      </c>
      <c r="W5" s="62" t="s">
        <v>6</v>
      </c>
      <c r="X5" s="62" t="s">
        <v>7</v>
      </c>
      <c r="Y5" s="62" t="s">
        <v>8</v>
      </c>
      <c r="Z5" s="57" t="s">
        <v>9</v>
      </c>
    </row>
    <row r="6" spans="2:26" ht="24" customHeight="1">
      <c r="B6" s="42">
        <v>1</v>
      </c>
      <c r="C6" s="48">
        <f t="shared" ref="C6:C36" si="0">DATE($T$3,$U$3,B6)</f>
        <v>42795</v>
      </c>
      <c r="D6" s="49">
        <f>DAY(C6)</f>
        <v>1</v>
      </c>
      <c r="E6" s="42">
        <f>WEEKDAY(C6)</f>
        <v>4</v>
      </c>
      <c r="F6" s="43">
        <v>1</v>
      </c>
      <c r="G6" s="72">
        <f>F6*10+E6</f>
        <v>14</v>
      </c>
      <c r="H6" s="50">
        <v>1</v>
      </c>
      <c r="I6" s="51">
        <f t="shared" ref="I6:I33" si="1">$U$3*100+H6</f>
        <v>301</v>
      </c>
      <c r="J6" s="51" t="e">
        <f>VLOOKUP(I6,祝日!$I$5:$J$31,2,FALSE)</f>
        <v>#N/A</v>
      </c>
      <c r="K6" s="52">
        <f>IF(ISNA(J6),0,J6)</f>
        <v>0</v>
      </c>
      <c r="L6" s="73">
        <v>1</v>
      </c>
      <c r="M6" s="73">
        <f t="shared" ref="M6:M36" si="2">L6*10+E6</f>
        <v>14</v>
      </c>
      <c r="N6" s="73" t="str">
        <f>VLOOKUP(M6,ゴミの日!$M$3:$P$38,4,FALSE)</f>
        <v>金属ゴミ</v>
      </c>
      <c r="O6" s="73" t="str">
        <f>IF(K6=0,N6,IF(ISERROR(FIND(ゴミの日!$D$3,N6,1)),"",ゴミの日!$D$3))</f>
        <v>金属ゴミ</v>
      </c>
      <c r="P6" s="73" t="e">
        <f>VLOOKUP(C6,'ゴミの日（特別）'!$B$12:$O$25,14,FALSE)</f>
        <v>#N/A</v>
      </c>
      <c r="Q6" s="74" t="str">
        <f>IF(ISNA(P6),O6,P6)</f>
        <v>金属ゴミ</v>
      </c>
      <c r="S6" s="42" t="s">
        <v>10</v>
      </c>
      <c r="T6" s="63" t="str">
        <f t="shared" ref="T6:Y6" si="3">IF(ISERROR(VLOOKUP(T39,表示データ,2,FALSE)),"",VLOOKUP(T39,表示データ,2,FALSE))</f>
        <v/>
      </c>
      <c r="U6" s="64" t="str">
        <f t="shared" si="3"/>
        <v/>
      </c>
      <c r="V6" s="64" t="str">
        <f t="shared" si="3"/>
        <v/>
      </c>
      <c r="W6" s="64">
        <f t="shared" si="3"/>
        <v>1</v>
      </c>
      <c r="X6" s="64">
        <f t="shared" si="3"/>
        <v>2</v>
      </c>
      <c r="Y6" s="64">
        <f t="shared" si="3"/>
        <v>3</v>
      </c>
      <c r="Z6" s="67">
        <f>VLOOKUP(Z39,表示データ,2,FALSE)</f>
        <v>4</v>
      </c>
    </row>
    <row r="7" spans="2:26" ht="52.5" customHeight="1">
      <c r="B7" s="42">
        <v>2</v>
      </c>
      <c r="C7" s="48">
        <f t="shared" si="0"/>
        <v>42796</v>
      </c>
      <c r="D7" s="49">
        <f t="shared" ref="D7:D36" si="4">DAY(C7)</f>
        <v>2</v>
      </c>
      <c r="E7" s="42">
        <f t="shared" ref="E7:E36" si="5">WEEKDAY(C7)</f>
        <v>5</v>
      </c>
      <c r="F7" s="43">
        <f>IF(E6&lt;E7,F6,F6+1)</f>
        <v>1</v>
      </c>
      <c r="G7" s="72">
        <f t="shared" ref="G7:G36" si="6">F7*10+E7</f>
        <v>15</v>
      </c>
      <c r="H7" s="50">
        <v>2</v>
      </c>
      <c r="I7" s="51">
        <f t="shared" si="1"/>
        <v>302</v>
      </c>
      <c r="J7" s="51" t="e">
        <f>VLOOKUP(I7,祝日!$I$5:$J$31,2,FALSE)</f>
        <v>#N/A</v>
      </c>
      <c r="K7" s="52">
        <f t="shared" ref="K7:K32" si="7">IF(ISNA(J7),0,J7)</f>
        <v>0</v>
      </c>
      <c r="L7" s="73">
        <f t="shared" ref="L7:L36" si="8">IF($E$6=E7,L6+1,L6)</f>
        <v>1</v>
      </c>
      <c r="M7" s="73">
        <f t="shared" si="2"/>
        <v>15</v>
      </c>
      <c r="N7" s="73" t="str">
        <f>VLOOKUP(M7,ゴミの日!$M$3:$P$38,4,FALSE)</f>
        <v>一般ゴミ</v>
      </c>
      <c r="O7" s="73" t="str">
        <f>IF(K7=0,N7,IF(ISERROR(FIND(ゴミの日!$D$3,N7,1)),"",ゴミの日!$D$3))</f>
        <v>一般ゴミ</v>
      </c>
      <c r="P7" s="73" t="e">
        <f>VLOOKUP(C7,'ゴミの日（特別）'!$B$12:$O$25,14,FALSE)</f>
        <v>#N/A</v>
      </c>
      <c r="Q7" s="74" t="str">
        <f t="shared" ref="Q7:Q36" si="9">IF(ISNA(P7),O7,P7)</f>
        <v>一般ゴミ</v>
      </c>
      <c r="S7" s="42" t="s">
        <v>10</v>
      </c>
      <c r="T7" s="58" t="str">
        <f t="shared" ref="T7:Y7" si="10">IF(ISERROR(VLOOKUP(T40,表示データ,11,FALSE)),"",VLOOKUP(T40,表示データ,11,FALSE))</f>
        <v/>
      </c>
      <c r="U7" s="65" t="str">
        <f t="shared" si="10"/>
        <v/>
      </c>
      <c r="V7" s="65" t="str">
        <f t="shared" si="10"/>
        <v/>
      </c>
      <c r="W7" s="65" t="str">
        <f t="shared" si="10"/>
        <v>金属ゴミ</v>
      </c>
      <c r="X7" s="65" t="str">
        <f t="shared" si="10"/>
        <v>一般ゴミ</v>
      </c>
      <c r="Y7" s="65" t="str">
        <f t="shared" si="10"/>
        <v>ペットボトル
プラスチック</v>
      </c>
      <c r="Z7" s="59" t="str">
        <f>VLOOKUP(Z40,表示データ,11,FALSE)</f>
        <v/>
      </c>
    </row>
    <row r="8" spans="2:26" ht="24" customHeight="1">
      <c r="B8" s="42">
        <v>3</v>
      </c>
      <c r="C8" s="48">
        <f t="shared" si="0"/>
        <v>42797</v>
      </c>
      <c r="D8" s="49">
        <f t="shared" si="4"/>
        <v>3</v>
      </c>
      <c r="E8" s="42">
        <f t="shared" si="5"/>
        <v>6</v>
      </c>
      <c r="F8" s="43">
        <f t="shared" ref="F8:F36" si="11">IF(E7&lt;E8,F7,F7+1)</f>
        <v>1</v>
      </c>
      <c r="G8" s="72">
        <f t="shared" si="6"/>
        <v>16</v>
      </c>
      <c r="H8" s="50">
        <v>3</v>
      </c>
      <c r="I8" s="51">
        <f t="shared" si="1"/>
        <v>303</v>
      </c>
      <c r="J8" s="51" t="e">
        <f>VLOOKUP(I8,祝日!$I$5:$J$31,2,FALSE)</f>
        <v>#N/A</v>
      </c>
      <c r="K8" s="52">
        <f t="shared" si="7"/>
        <v>0</v>
      </c>
      <c r="L8" s="73">
        <f t="shared" si="8"/>
        <v>1</v>
      </c>
      <c r="M8" s="73">
        <f t="shared" si="2"/>
        <v>16</v>
      </c>
      <c r="N8" s="73" t="str">
        <f>VLOOKUP(M8,ゴミの日!$M$3:$P$38,4,FALSE)</f>
        <v>ペットボトル
プラスチック</v>
      </c>
      <c r="O8" s="73" t="str">
        <f>IF(K8=0,N8,IF(ISERROR(FIND(ゴミの日!$D$3,N8,1)),"",ゴミの日!$D$3))</f>
        <v>ペットボトル
プラスチック</v>
      </c>
      <c r="P8" s="73" t="e">
        <f>VLOOKUP(C8,'ゴミの日（特別）'!$B$12:$O$25,14,FALSE)</f>
        <v>#N/A</v>
      </c>
      <c r="Q8" s="74" t="str">
        <f t="shared" si="9"/>
        <v>ペットボトル
プラスチック</v>
      </c>
      <c r="S8" s="42" t="s">
        <v>11</v>
      </c>
      <c r="T8" s="60">
        <f t="shared" ref="T8:Z8" si="12">VLOOKUP(T41,表示データ,2,FALSE)</f>
        <v>5</v>
      </c>
      <c r="U8" s="66">
        <f t="shared" si="12"/>
        <v>6</v>
      </c>
      <c r="V8" s="66">
        <f t="shared" si="12"/>
        <v>7</v>
      </c>
      <c r="W8" s="66">
        <f t="shared" si="12"/>
        <v>8</v>
      </c>
      <c r="X8" s="66">
        <f t="shared" si="12"/>
        <v>9</v>
      </c>
      <c r="Y8" s="66">
        <f t="shared" si="12"/>
        <v>10</v>
      </c>
      <c r="Z8" s="61">
        <f t="shared" si="12"/>
        <v>11</v>
      </c>
    </row>
    <row r="9" spans="2:26" ht="52.5" customHeight="1">
      <c r="B9" s="42">
        <v>4</v>
      </c>
      <c r="C9" s="48">
        <f t="shared" si="0"/>
        <v>42798</v>
      </c>
      <c r="D9" s="49">
        <f t="shared" si="4"/>
        <v>4</v>
      </c>
      <c r="E9" s="42">
        <f t="shared" si="5"/>
        <v>7</v>
      </c>
      <c r="F9" s="43">
        <f t="shared" si="11"/>
        <v>1</v>
      </c>
      <c r="G9" s="72">
        <f t="shared" si="6"/>
        <v>17</v>
      </c>
      <c r="H9" s="50">
        <v>4</v>
      </c>
      <c r="I9" s="51">
        <f t="shared" si="1"/>
        <v>304</v>
      </c>
      <c r="J9" s="51" t="e">
        <f>VLOOKUP(I9,祝日!$I$5:$J$31,2,FALSE)</f>
        <v>#N/A</v>
      </c>
      <c r="K9" s="52">
        <f t="shared" si="7"/>
        <v>0</v>
      </c>
      <c r="L9" s="73">
        <f t="shared" si="8"/>
        <v>1</v>
      </c>
      <c r="M9" s="73">
        <f t="shared" si="2"/>
        <v>17</v>
      </c>
      <c r="N9" s="73" t="str">
        <f>VLOOKUP(M9,ゴミの日!$M$3:$P$38,4,FALSE)</f>
        <v/>
      </c>
      <c r="O9" s="73" t="str">
        <f>IF(K9=0,N9,IF(ISERROR(FIND(ゴミの日!$D$3,N9,1)),"",ゴミの日!$D$3))</f>
        <v/>
      </c>
      <c r="P9" s="73" t="e">
        <f>VLOOKUP(C9,'ゴミの日（特別）'!$B$12:$O$25,14,FALSE)</f>
        <v>#N/A</v>
      </c>
      <c r="Q9" s="74" t="str">
        <f t="shared" si="9"/>
        <v/>
      </c>
      <c r="S9" s="42" t="s">
        <v>11</v>
      </c>
      <c r="T9" s="58" t="str">
        <f t="shared" ref="T9:Z9" si="13">VLOOKUP(T42,表示データ,11,FALSE)</f>
        <v/>
      </c>
      <c r="U9" s="65" t="str">
        <f t="shared" si="13"/>
        <v>一般ゴミ</v>
      </c>
      <c r="V9" s="65" t="str">
        <f t="shared" si="13"/>
        <v>ビン・カン類</v>
      </c>
      <c r="W9" s="65" t="str">
        <f t="shared" si="13"/>
        <v/>
      </c>
      <c r="X9" s="65" t="str">
        <f t="shared" si="13"/>
        <v>一般ゴミ</v>
      </c>
      <c r="Y9" s="65" t="str">
        <f t="shared" si="13"/>
        <v>有害・危険ゴミ
プラスチック</v>
      </c>
      <c r="Z9" s="59" t="str">
        <f t="shared" si="13"/>
        <v/>
      </c>
    </row>
    <row r="10" spans="2:26" ht="24" customHeight="1">
      <c r="B10" s="42">
        <v>5</v>
      </c>
      <c r="C10" s="48">
        <f t="shared" si="0"/>
        <v>42799</v>
      </c>
      <c r="D10" s="49">
        <f t="shared" si="4"/>
        <v>5</v>
      </c>
      <c r="E10" s="42">
        <f t="shared" si="5"/>
        <v>1</v>
      </c>
      <c r="F10" s="43">
        <f t="shared" si="11"/>
        <v>2</v>
      </c>
      <c r="G10" s="72">
        <f t="shared" si="6"/>
        <v>21</v>
      </c>
      <c r="H10" s="50">
        <v>5</v>
      </c>
      <c r="I10" s="51">
        <f t="shared" si="1"/>
        <v>305</v>
      </c>
      <c r="J10" s="51" t="e">
        <f>VLOOKUP(I10,祝日!$I$5:$J$31,2,FALSE)</f>
        <v>#N/A</v>
      </c>
      <c r="K10" s="52">
        <f t="shared" si="7"/>
        <v>0</v>
      </c>
      <c r="L10" s="73">
        <f t="shared" si="8"/>
        <v>1</v>
      </c>
      <c r="M10" s="73">
        <f t="shared" si="2"/>
        <v>11</v>
      </c>
      <c r="N10" s="73" t="str">
        <f>VLOOKUP(M10,ゴミの日!$M$3:$P$38,4,FALSE)</f>
        <v/>
      </c>
      <c r="O10" s="73" t="str">
        <f>IF(K10=0,N10,IF(ISERROR(FIND(ゴミの日!$D$3,N10,1)),"",ゴミの日!$D$3))</f>
        <v/>
      </c>
      <c r="P10" s="73" t="e">
        <f>VLOOKUP(C10,'ゴミの日（特別）'!$B$12:$O$25,14,FALSE)</f>
        <v>#N/A</v>
      </c>
      <c r="Q10" s="74" t="str">
        <f t="shared" si="9"/>
        <v/>
      </c>
      <c r="S10" s="42" t="s">
        <v>12</v>
      </c>
      <c r="T10" s="60">
        <f t="shared" ref="T10:Z10" si="14">VLOOKUP(T43,表示データ,2,FALSE)</f>
        <v>12</v>
      </c>
      <c r="U10" s="66">
        <f t="shared" si="14"/>
        <v>13</v>
      </c>
      <c r="V10" s="66">
        <f t="shared" si="14"/>
        <v>14</v>
      </c>
      <c r="W10" s="66">
        <f t="shared" si="14"/>
        <v>15</v>
      </c>
      <c r="X10" s="66">
        <f t="shared" si="14"/>
        <v>16</v>
      </c>
      <c r="Y10" s="66">
        <f t="shared" si="14"/>
        <v>17</v>
      </c>
      <c r="Z10" s="61">
        <f t="shared" si="14"/>
        <v>18</v>
      </c>
    </row>
    <row r="11" spans="2:26" ht="52.5" customHeight="1">
      <c r="B11" s="42">
        <v>6</v>
      </c>
      <c r="C11" s="48">
        <f t="shared" si="0"/>
        <v>42800</v>
      </c>
      <c r="D11" s="49">
        <f t="shared" si="4"/>
        <v>6</v>
      </c>
      <c r="E11" s="42">
        <f t="shared" si="5"/>
        <v>2</v>
      </c>
      <c r="F11" s="43">
        <f t="shared" si="11"/>
        <v>2</v>
      </c>
      <c r="G11" s="72">
        <f t="shared" si="6"/>
        <v>22</v>
      </c>
      <c r="H11" s="50">
        <v>6</v>
      </c>
      <c r="I11" s="51">
        <f t="shared" si="1"/>
        <v>306</v>
      </c>
      <c r="J11" s="51" t="e">
        <f>VLOOKUP(I11,祝日!$I$5:$J$31,2,FALSE)</f>
        <v>#N/A</v>
      </c>
      <c r="K11" s="52">
        <f t="shared" si="7"/>
        <v>0</v>
      </c>
      <c r="L11" s="73">
        <f t="shared" si="8"/>
        <v>1</v>
      </c>
      <c r="M11" s="73">
        <f t="shared" si="2"/>
        <v>12</v>
      </c>
      <c r="N11" s="73" t="str">
        <f>VLOOKUP(M11,ゴミの日!$M$3:$P$38,4,FALSE)</f>
        <v>一般ゴミ</v>
      </c>
      <c r="O11" s="73" t="str">
        <f>IF(K11=0,N11,IF(ISERROR(FIND(ゴミの日!$D$3,N11,1)),"",ゴミの日!$D$3))</f>
        <v>一般ゴミ</v>
      </c>
      <c r="P11" s="73" t="e">
        <f>VLOOKUP(C11,'ゴミの日（特別）'!$B$12:$O$25,14,FALSE)</f>
        <v>#N/A</v>
      </c>
      <c r="Q11" s="74" t="str">
        <f t="shared" si="9"/>
        <v>一般ゴミ</v>
      </c>
      <c r="S11" s="42" t="s">
        <v>12</v>
      </c>
      <c r="T11" s="58" t="str">
        <f t="shared" ref="T11:Z11" si="15">VLOOKUP(T44,表示データ,11,FALSE)</f>
        <v/>
      </c>
      <c r="U11" s="65" t="str">
        <f t="shared" si="15"/>
        <v>一般ゴミ</v>
      </c>
      <c r="V11" s="65" t="str">
        <f t="shared" si="15"/>
        <v>紙布</v>
      </c>
      <c r="W11" s="65" t="str">
        <f t="shared" si="15"/>
        <v>粗大ゴミ</v>
      </c>
      <c r="X11" s="65" t="str">
        <f t="shared" si="15"/>
        <v>一般ゴミ</v>
      </c>
      <c r="Y11" s="65" t="str">
        <f t="shared" si="15"/>
        <v>ペットボトル
プラスチック</v>
      </c>
      <c r="Z11" s="59" t="str">
        <f t="shared" si="15"/>
        <v/>
      </c>
    </row>
    <row r="12" spans="2:26" ht="24" customHeight="1">
      <c r="B12" s="42">
        <v>7</v>
      </c>
      <c r="C12" s="48">
        <f t="shared" si="0"/>
        <v>42801</v>
      </c>
      <c r="D12" s="49">
        <f t="shared" si="4"/>
        <v>7</v>
      </c>
      <c r="E12" s="42">
        <f t="shared" si="5"/>
        <v>3</v>
      </c>
      <c r="F12" s="43">
        <f t="shared" si="11"/>
        <v>2</v>
      </c>
      <c r="G12" s="72">
        <f t="shared" si="6"/>
        <v>23</v>
      </c>
      <c r="H12" s="50">
        <v>7</v>
      </c>
      <c r="I12" s="51">
        <f t="shared" si="1"/>
        <v>307</v>
      </c>
      <c r="J12" s="51" t="e">
        <f>VLOOKUP(I12,祝日!$I$5:$J$31,2,FALSE)</f>
        <v>#N/A</v>
      </c>
      <c r="K12" s="52">
        <f t="shared" si="7"/>
        <v>0</v>
      </c>
      <c r="L12" s="73">
        <f t="shared" si="8"/>
        <v>1</v>
      </c>
      <c r="M12" s="73">
        <f t="shared" si="2"/>
        <v>13</v>
      </c>
      <c r="N12" s="73" t="str">
        <f>VLOOKUP(M12,ゴミの日!$M$3:$P$38,4,FALSE)</f>
        <v>ビン・カン類</v>
      </c>
      <c r="O12" s="73" t="str">
        <f>IF(K12=0,N12,IF(ISERROR(FIND(ゴミの日!$D$3,N12,1)),"",ゴミの日!$D$3))</f>
        <v>ビン・カン類</v>
      </c>
      <c r="P12" s="73" t="e">
        <f>VLOOKUP(C12,'ゴミの日（特別）'!$B$12:$O$25,14,FALSE)</f>
        <v>#N/A</v>
      </c>
      <c r="Q12" s="74" t="str">
        <f t="shared" si="9"/>
        <v>ビン・カン類</v>
      </c>
      <c r="S12" s="42" t="s">
        <v>13</v>
      </c>
      <c r="T12" s="60">
        <f t="shared" ref="T12:Z12" si="16">VLOOKUP(T45,表示データ,2,FALSE)</f>
        <v>19</v>
      </c>
      <c r="U12" s="66">
        <f t="shared" si="16"/>
        <v>20</v>
      </c>
      <c r="V12" s="66">
        <f t="shared" si="16"/>
        <v>21</v>
      </c>
      <c r="W12" s="66">
        <f t="shared" si="16"/>
        <v>22</v>
      </c>
      <c r="X12" s="66">
        <f t="shared" si="16"/>
        <v>23</v>
      </c>
      <c r="Y12" s="66">
        <f t="shared" si="16"/>
        <v>24</v>
      </c>
      <c r="Z12" s="61">
        <f t="shared" si="16"/>
        <v>25</v>
      </c>
    </row>
    <row r="13" spans="2:26" ht="52.5" customHeight="1">
      <c r="B13" s="42">
        <v>8</v>
      </c>
      <c r="C13" s="48">
        <f t="shared" si="0"/>
        <v>42802</v>
      </c>
      <c r="D13" s="49">
        <f t="shared" si="4"/>
        <v>8</v>
      </c>
      <c r="E13" s="42">
        <f t="shared" si="5"/>
        <v>4</v>
      </c>
      <c r="F13" s="43">
        <f t="shared" si="11"/>
        <v>2</v>
      </c>
      <c r="G13" s="72">
        <f t="shared" si="6"/>
        <v>24</v>
      </c>
      <c r="H13" s="50">
        <v>8</v>
      </c>
      <c r="I13" s="51">
        <f t="shared" si="1"/>
        <v>308</v>
      </c>
      <c r="J13" s="51" t="e">
        <f>VLOOKUP(I13,祝日!$I$5:$J$31,2,FALSE)</f>
        <v>#N/A</v>
      </c>
      <c r="K13" s="52">
        <f t="shared" si="7"/>
        <v>0</v>
      </c>
      <c r="L13" s="73">
        <f t="shared" si="8"/>
        <v>2</v>
      </c>
      <c r="M13" s="73">
        <f t="shared" si="2"/>
        <v>24</v>
      </c>
      <c r="N13" s="73" t="str">
        <f>VLOOKUP(M13,ゴミの日!$M$3:$P$38,4,FALSE)</f>
        <v/>
      </c>
      <c r="O13" s="73" t="str">
        <f>IF(K13=0,N13,IF(ISERROR(FIND(ゴミの日!$D$3,N13,1)),"",ゴミの日!$D$3))</f>
        <v/>
      </c>
      <c r="P13" s="73" t="e">
        <f>VLOOKUP(C13,'ゴミの日（特別）'!$B$12:$O$25,14,FALSE)</f>
        <v>#N/A</v>
      </c>
      <c r="Q13" s="74" t="str">
        <f t="shared" si="9"/>
        <v/>
      </c>
      <c r="S13" s="42" t="s">
        <v>13</v>
      </c>
      <c r="T13" s="58" t="str">
        <f t="shared" ref="T13:Z13" si="17">VLOOKUP(T46,表示データ,11,FALSE)</f>
        <v/>
      </c>
      <c r="U13" s="65" t="str">
        <f t="shared" si="17"/>
        <v>一般ゴミ</v>
      </c>
      <c r="V13" s="65" t="str">
        <f t="shared" si="17"/>
        <v>ビン・カン類</v>
      </c>
      <c r="W13" s="65" t="str">
        <f t="shared" si="17"/>
        <v/>
      </c>
      <c r="X13" s="65" t="str">
        <f t="shared" si="17"/>
        <v>一般ゴミ</v>
      </c>
      <c r="Y13" s="65" t="str">
        <f t="shared" si="17"/>
        <v>有害・危険ゴミ
プラスチック</v>
      </c>
      <c r="Z13" s="59" t="str">
        <f t="shared" si="17"/>
        <v/>
      </c>
    </row>
    <row r="14" spans="2:26" ht="24" customHeight="1">
      <c r="B14" s="42">
        <v>9</v>
      </c>
      <c r="C14" s="48">
        <f t="shared" si="0"/>
        <v>42803</v>
      </c>
      <c r="D14" s="49">
        <f t="shared" si="4"/>
        <v>9</v>
      </c>
      <c r="E14" s="42">
        <f t="shared" si="5"/>
        <v>5</v>
      </c>
      <c r="F14" s="43">
        <f t="shared" si="11"/>
        <v>2</v>
      </c>
      <c r="G14" s="72">
        <f t="shared" si="6"/>
        <v>25</v>
      </c>
      <c r="H14" s="50">
        <v>9</v>
      </c>
      <c r="I14" s="51">
        <f t="shared" si="1"/>
        <v>309</v>
      </c>
      <c r="J14" s="51" t="e">
        <f>VLOOKUP(I14,祝日!$I$5:$J$31,2,FALSE)</f>
        <v>#N/A</v>
      </c>
      <c r="K14" s="52">
        <f t="shared" si="7"/>
        <v>0</v>
      </c>
      <c r="L14" s="73">
        <f t="shared" si="8"/>
        <v>2</v>
      </c>
      <c r="M14" s="73">
        <f t="shared" si="2"/>
        <v>25</v>
      </c>
      <c r="N14" s="73" t="str">
        <f>VLOOKUP(M14,ゴミの日!$M$3:$P$38,4,FALSE)</f>
        <v>一般ゴミ</v>
      </c>
      <c r="O14" s="73" t="str">
        <f>IF(K14=0,N14,IF(ISERROR(FIND(ゴミの日!$D$3,N14,1)),"",ゴミの日!$D$3))</f>
        <v>一般ゴミ</v>
      </c>
      <c r="P14" s="73" t="e">
        <f>VLOOKUP(C14,'ゴミの日（特別）'!$B$12:$O$25,14,FALSE)</f>
        <v>#N/A</v>
      </c>
      <c r="Q14" s="74" t="str">
        <f t="shared" si="9"/>
        <v>一般ゴミ</v>
      </c>
      <c r="S14" s="42" t="s">
        <v>14</v>
      </c>
      <c r="T14" s="60">
        <f t="shared" ref="T14:Z14" si="18">IF(ISERROR(VLOOKUP(T47,表示データ,2,FALSE)),"",VLOOKUP(T47,表示データ,2,FALSE))</f>
        <v>26</v>
      </c>
      <c r="U14" s="66">
        <f t="shared" si="18"/>
        <v>27</v>
      </c>
      <c r="V14" s="66">
        <f t="shared" si="18"/>
        <v>28</v>
      </c>
      <c r="W14" s="66">
        <f t="shared" si="18"/>
        <v>29</v>
      </c>
      <c r="X14" s="66">
        <f t="shared" si="18"/>
        <v>30</v>
      </c>
      <c r="Y14" s="66">
        <f t="shared" si="18"/>
        <v>31</v>
      </c>
      <c r="Z14" s="61" t="str">
        <f t="shared" si="18"/>
        <v/>
      </c>
    </row>
    <row r="15" spans="2:26" ht="52.5" customHeight="1">
      <c r="B15" s="42">
        <v>10</v>
      </c>
      <c r="C15" s="48">
        <f t="shared" si="0"/>
        <v>42804</v>
      </c>
      <c r="D15" s="49">
        <f t="shared" si="4"/>
        <v>10</v>
      </c>
      <c r="E15" s="42">
        <f t="shared" si="5"/>
        <v>6</v>
      </c>
      <c r="F15" s="43">
        <f t="shared" si="11"/>
        <v>2</v>
      </c>
      <c r="G15" s="72">
        <f t="shared" si="6"/>
        <v>26</v>
      </c>
      <c r="H15" s="50">
        <v>10</v>
      </c>
      <c r="I15" s="51">
        <f t="shared" si="1"/>
        <v>310</v>
      </c>
      <c r="J15" s="51" t="e">
        <f>VLOOKUP(I15,祝日!$I$5:$J$31,2,FALSE)</f>
        <v>#N/A</v>
      </c>
      <c r="K15" s="52">
        <f t="shared" si="7"/>
        <v>0</v>
      </c>
      <c r="L15" s="73">
        <f t="shared" si="8"/>
        <v>2</v>
      </c>
      <c r="M15" s="73">
        <f t="shared" si="2"/>
        <v>26</v>
      </c>
      <c r="N15" s="73" t="str">
        <f>VLOOKUP(M15,ゴミの日!$M$3:$P$38,4,FALSE)</f>
        <v>有害・危険ゴミ
プラスチック</v>
      </c>
      <c r="O15" s="73" t="str">
        <f>IF(K15=0,N15,IF(ISERROR(FIND(ゴミの日!$D$3,N15,1)),"",ゴミの日!$D$3))</f>
        <v>有害・危険ゴミ
プラスチック</v>
      </c>
      <c r="P15" s="73" t="e">
        <f>VLOOKUP(C15,'ゴミの日（特別）'!$B$12:$O$25,14,FALSE)</f>
        <v>#N/A</v>
      </c>
      <c r="Q15" s="74" t="str">
        <f t="shared" si="9"/>
        <v>有害・危険ゴミ
プラスチック</v>
      </c>
      <c r="S15" s="42" t="s">
        <v>14</v>
      </c>
      <c r="T15" s="58" t="str">
        <f t="shared" ref="T15:Z15" si="19">IF(ISERROR(VLOOKUP(T48,表示データ,11,FALSE)),"",VLOOKUP(T48,表示データ,11,FALSE))</f>
        <v/>
      </c>
      <c r="U15" s="65" t="str">
        <f t="shared" si="19"/>
        <v>一般ゴミ</v>
      </c>
      <c r="V15" s="65" t="str">
        <f t="shared" si="19"/>
        <v>紙布</v>
      </c>
      <c r="W15" s="65" t="str">
        <f t="shared" si="19"/>
        <v/>
      </c>
      <c r="X15" s="65" t="str">
        <f t="shared" si="19"/>
        <v>一般ゴミ</v>
      </c>
      <c r="Y15" s="65" t="str">
        <f t="shared" si="19"/>
        <v>プラスチック</v>
      </c>
      <c r="Z15" s="59" t="str">
        <f t="shared" si="19"/>
        <v/>
      </c>
    </row>
    <row r="16" spans="2:26" ht="24" customHeight="1">
      <c r="B16" s="42">
        <v>11</v>
      </c>
      <c r="C16" s="48">
        <f t="shared" si="0"/>
        <v>42805</v>
      </c>
      <c r="D16" s="49">
        <f t="shared" si="4"/>
        <v>11</v>
      </c>
      <c r="E16" s="42">
        <f t="shared" si="5"/>
        <v>7</v>
      </c>
      <c r="F16" s="43">
        <f t="shared" si="11"/>
        <v>2</v>
      </c>
      <c r="G16" s="72">
        <f t="shared" si="6"/>
        <v>27</v>
      </c>
      <c r="H16" s="50">
        <v>11</v>
      </c>
      <c r="I16" s="51">
        <f t="shared" si="1"/>
        <v>311</v>
      </c>
      <c r="J16" s="51" t="e">
        <f>VLOOKUP(I16,祝日!$I$5:$J$31,2,FALSE)</f>
        <v>#N/A</v>
      </c>
      <c r="K16" s="52">
        <f t="shared" si="7"/>
        <v>0</v>
      </c>
      <c r="L16" s="73">
        <f t="shared" si="8"/>
        <v>2</v>
      </c>
      <c r="M16" s="73">
        <f t="shared" si="2"/>
        <v>27</v>
      </c>
      <c r="N16" s="73" t="str">
        <f>VLOOKUP(M16,ゴミの日!$M$3:$P$38,4,FALSE)</f>
        <v/>
      </c>
      <c r="O16" s="73" t="str">
        <f>IF(K16=0,N16,IF(ISERROR(FIND(ゴミの日!$D$3,N16,1)),"",ゴミの日!$D$3))</f>
        <v/>
      </c>
      <c r="P16" s="73" t="e">
        <f>VLOOKUP(C16,'ゴミの日（特別）'!$B$12:$O$25,14,FALSE)</f>
        <v>#N/A</v>
      </c>
      <c r="Q16" s="74" t="str">
        <f t="shared" si="9"/>
        <v/>
      </c>
      <c r="S16" s="42" t="s">
        <v>32</v>
      </c>
      <c r="T16" s="60" t="str">
        <f>IF(ISERROR(VLOOKUP(T49,表示データ,2,FALSE)),"",VLOOKUP(T49,表示データ,2,FALSE))</f>
        <v/>
      </c>
      <c r="U16" s="66" t="str">
        <f>IF(ISERROR(VLOOKUP(U49,表示データ,2,FALSE)),"",VLOOKUP(U49,表示データ,2,FALSE))</f>
        <v/>
      </c>
      <c r="V16" s="66"/>
      <c r="W16" s="66"/>
      <c r="X16" s="66"/>
      <c r="Y16" s="66"/>
      <c r="Z16" s="61"/>
    </row>
    <row r="17" spans="2:26" ht="52.5" customHeight="1">
      <c r="B17" s="42">
        <v>12</v>
      </c>
      <c r="C17" s="48">
        <f t="shared" si="0"/>
        <v>42806</v>
      </c>
      <c r="D17" s="49">
        <f t="shared" si="4"/>
        <v>12</v>
      </c>
      <c r="E17" s="42">
        <f t="shared" si="5"/>
        <v>1</v>
      </c>
      <c r="F17" s="43">
        <f t="shared" si="11"/>
        <v>3</v>
      </c>
      <c r="G17" s="72">
        <f t="shared" si="6"/>
        <v>31</v>
      </c>
      <c r="H17" s="50">
        <v>12</v>
      </c>
      <c r="I17" s="51">
        <f t="shared" si="1"/>
        <v>312</v>
      </c>
      <c r="J17" s="51" t="e">
        <f>VLOOKUP(I17,祝日!$I$5:$J$31,2,FALSE)</f>
        <v>#N/A</v>
      </c>
      <c r="K17" s="52">
        <f t="shared" si="7"/>
        <v>0</v>
      </c>
      <c r="L17" s="73">
        <f t="shared" si="8"/>
        <v>2</v>
      </c>
      <c r="M17" s="73">
        <f t="shared" si="2"/>
        <v>21</v>
      </c>
      <c r="N17" s="73" t="str">
        <f>VLOOKUP(M17,ゴミの日!$M$3:$P$38,4,FALSE)</f>
        <v/>
      </c>
      <c r="O17" s="73" t="str">
        <f>IF(K17=0,N17,IF(ISERROR(FIND(ゴミの日!$D$3,N17,1)),"",ゴミの日!$D$3))</f>
        <v/>
      </c>
      <c r="P17" s="73" t="e">
        <f>VLOOKUP(C17,'ゴミの日（特別）'!$B$12:$O$25,14,FALSE)</f>
        <v>#N/A</v>
      </c>
      <c r="Q17" s="74" t="str">
        <f t="shared" si="9"/>
        <v/>
      </c>
      <c r="S17" s="42" t="s">
        <v>32</v>
      </c>
      <c r="T17" s="58" t="str">
        <f>IF(ISERROR(VLOOKUP(T50,表示データ,11,FALSE)),"",VLOOKUP(T50,表示データ,11,FALSE))</f>
        <v/>
      </c>
      <c r="U17" s="65" t="str">
        <f>IF(ISERROR(VLOOKUP(U50,表示データ,11,FALSE)),"",VLOOKUP(U50,表示データ,11,FALSE))</f>
        <v/>
      </c>
      <c r="V17" s="65"/>
      <c r="W17" s="65"/>
      <c r="X17" s="65"/>
      <c r="Y17" s="65"/>
      <c r="Z17" s="59"/>
    </row>
    <row r="18" spans="2:26">
      <c r="B18" s="42">
        <v>13</v>
      </c>
      <c r="C18" s="48">
        <f t="shared" si="0"/>
        <v>42807</v>
      </c>
      <c r="D18" s="49">
        <f t="shared" si="4"/>
        <v>13</v>
      </c>
      <c r="E18" s="42">
        <f t="shared" si="5"/>
        <v>2</v>
      </c>
      <c r="F18" s="43">
        <f t="shared" si="11"/>
        <v>3</v>
      </c>
      <c r="G18" s="72">
        <f t="shared" si="6"/>
        <v>32</v>
      </c>
      <c r="H18" s="50">
        <v>13</v>
      </c>
      <c r="I18" s="51">
        <f t="shared" si="1"/>
        <v>313</v>
      </c>
      <c r="J18" s="51" t="e">
        <f>VLOOKUP(I18,祝日!$I$5:$J$31,2,FALSE)</f>
        <v>#N/A</v>
      </c>
      <c r="K18" s="52">
        <f t="shared" si="7"/>
        <v>0</v>
      </c>
      <c r="L18" s="73">
        <f t="shared" si="8"/>
        <v>2</v>
      </c>
      <c r="M18" s="73">
        <f t="shared" si="2"/>
        <v>22</v>
      </c>
      <c r="N18" s="73" t="str">
        <f>VLOOKUP(M18,ゴミの日!$M$3:$P$38,4,FALSE)</f>
        <v>一般ゴミ</v>
      </c>
      <c r="O18" s="73" t="str">
        <f>IF(K18=0,N18,IF(ISERROR(FIND(ゴミの日!$D$3,N18,1)),"",ゴミの日!$D$3))</f>
        <v>一般ゴミ</v>
      </c>
      <c r="P18" s="73" t="e">
        <f>VLOOKUP(C18,'ゴミの日（特別）'!$B$12:$O$25,14,FALSE)</f>
        <v>#N/A</v>
      </c>
      <c r="Q18" s="74" t="str">
        <f t="shared" si="9"/>
        <v>一般ゴミ</v>
      </c>
      <c r="T18" s="104"/>
      <c r="U18" s="104"/>
      <c r="V18" s="104"/>
      <c r="W18" s="104"/>
      <c r="X18" s="104"/>
      <c r="Y18" s="104"/>
      <c r="Z18" s="104"/>
    </row>
    <row r="19" spans="2:26" ht="24">
      <c r="B19" s="42">
        <v>14</v>
      </c>
      <c r="C19" s="48">
        <f t="shared" si="0"/>
        <v>42808</v>
      </c>
      <c r="D19" s="49">
        <f t="shared" si="4"/>
        <v>14</v>
      </c>
      <c r="E19" s="42">
        <f t="shared" si="5"/>
        <v>3</v>
      </c>
      <c r="F19" s="43">
        <f t="shared" si="11"/>
        <v>3</v>
      </c>
      <c r="G19" s="72">
        <f t="shared" si="6"/>
        <v>33</v>
      </c>
      <c r="H19" s="50">
        <v>14</v>
      </c>
      <c r="I19" s="51">
        <f t="shared" si="1"/>
        <v>314</v>
      </c>
      <c r="J19" s="51" t="e">
        <f>VLOOKUP(I19,祝日!$I$5:$J$31,2,FALSE)</f>
        <v>#N/A</v>
      </c>
      <c r="K19" s="52">
        <f t="shared" si="7"/>
        <v>0</v>
      </c>
      <c r="L19" s="73">
        <f t="shared" si="8"/>
        <v>2</v>
      </c>
      <c r="M19" s="73">
        <f t="shared" si="2"/>
        <v>23</v>
      </c>
      <c r="N19" s="73" t="str">
        <f>VLOOKUP(M19,ゴミの日!$M$3:$P$38,4,FALSE)</f>
        <v>紙布</v>
      </c>
      <c r="O19" s="73" t="str">
        <f>IF(K19=0,N19,IF(ISERROR(FIND(ゴミの日!$D$3,N19,1)),"",ゴミの日!$D$3))</f>
        <v>紙布</v>
      </c>
      <c r="P19" s="73" t="e">
        <f>VLOOKUP(C19,'ゴミの日（特別）'!$B$12:$O$25,14,FALSE)</f>
        <v>#N/A</v>
      </c>
      <c r="Q19" s="74" t="str">
        <f t="shared" si="9"/>
        <v>紙布</v>
      </c>
      <c r="T19" s="103" t="s">
        <v>138</v>
      </c>
      <c r="U19" s="103"/>
      <c r="V19" s="103"/>
      <c r="W19" s="103"/>
      <c r="X19" s="103"/>
      <c r="Y19" s="103"/>
      <c r="Z19" s="103"/>
    </row>
    <row r="20" spans="2:26" ht="24">
      <c r="B20" s="42">
        <v>15</v>
      </c>
      <c r="C20" s="48">
        <f t="shared" si="0"/>
        <v>42809</v>
      </c>
      <c r="D20" s="49">
        <f t="shared" si="4"/>
        <v>15</v>
      </c>
      <c r="E20" s="42">
        <f t="shared" si="5"/>
        <v>4</v>
      </c>
      <c r="F20" s="43">
        <f t="shared" si="11"/>
        <v>3</v>
      </c>
      <c r="G20" s="72">
        <f t="shared" si="6"/>
        <v>34</v>
      </c>
      <c r="H20" s="50">
        <v>15</v>
      </c>
      <c r="I20" s="51">
        <f t="shared" si="1"/>
        <v>315</v>
      </c>
      <c r="J20" s="51" t="e">
        <f>VLOOKUP(I20,祝日!$I$5:$J$31,2,FALSE)</f>
        <v>#N/A</v>
      </c>
      <c r="K20" s="52">
        <f t="shared" si="7"/>
        <v>0</v>
      </c>
      <c r="L20" s="73">
        <f t="shared" si="8"/>
        <v>3</v>
      </c>
      <c r="M20" s="73">
        <f t="shared" si="2"/>
        <v>34</v>
      </c>
      <c r="N20" s="73" t="str">
        <f>VLOOKUP(M20,ゴミの日!$M$3:$P$38,4,FALSE)</f>
        <v>粗大ゴミ</v>
      </c>
      <c r="O20" s="73" t="str">
        <f>IF(K20=0,N20,IF(ISERROR(FIND(ゴミの日!$D$3,N20,1)),"",ゴミの日!$D$3))</f>
        <v>粗大ゴミ</v>
      </c>
      <c r="P20" s="73" t="e">
        <f>VLOOKUP(C20,'ゴミの日（特別）'!$B$12:$O$25,14,FALSE)</f>
        <v>#N/A</v>
      </c>
      <c r="Q20" s="74" t="str">
        <f t="shared" si="9"/>
        <v>粗大ゴミ</v>
      </c>
      <c r="T20" s="103" t="s">
        <v>140</v>
      </c>
      <c r="U20" s="103"/>
      <c r="V20" s="103"/>
      <c r="W20" s="103"/>
      <c r="X20" s="103"/>
      <c r="Y20" s="103"/>
      <c r="Z20" s="103"/>
    </row>
    <row r="21" spans="2:26">
      <c r="B21" s="42">
        <v>16</v>
      </c>
      <c r="C21" s="48">
        <f t="shared" si="0"/>
        <v>42810</v>
      </c>
      <c r="D21" s="49">
        <f t="shared" si="4"/>
        <v>16</v>
      </c>
      <c r="E21" s="42">
        <f t="shared" si="5"/>
        <v>5</v>
      </c>
      <c r="F21" s="43">
        <f t="shared" si="11"/>
        <v>3</v>
      </c>
      <c r="G21" s="72">
        <f t="shared" si="6"/>
        <v>35</v>
      </c>
      <c r="H21" s="50">
        <v>16</v>
      </c>
      <c r="I21" s="51">
        <f t="shared" si="1"/>
        <v>316</v>
      </c>
      <c r="J21" s="51" t="e">
        <f>VLOOKUP(I21,祝日!$I$5:$J$31,2,FALSE)</f>
        <v>#N/A</v>
      </c>
      <c r="K21" s="52">
        <f t="shared" si="7"/>
        <v>0</v>
      </c>
      <c r="L21" s="73">
        <f t="shared" si="8"/>
        <v>3</v>
      </c>
      <c r="M21" s="73">
        <f t="shared" si="2"/>
        <v>35</v>
      </c>
      <c r="N21" s="73" t="str">
        <f>VLOOKUP(M21,ゴミの日!$M$3:$P$38,4,FALSE)</f>
        <v>一般ゴミ</v>
      </c>
      <c r="O21" s="73" t="str">
        <f>IF(K21=0,N21,IF(ISERROR(FIND(ゴミの日!$D$3,N21,1)),"",ゴミの日!$D$3))</f>
        <v>一般ゴミ</v>
      </c>
      <c r="P21" s="73" t="e">
        <f>VLOOKUP(C21,'ゴミの日（特別）'!$B$12:$O$25,14,FALSE)</f>
        <v>#N/A</v>
      </c>
      <c r="Q21" s="74" t="str">
        <f t="shared" si="9"/>
        <v>一般ゴミ</v>
      </c>
    </row>
    <row r="22" spans="2:26">
      <c r="B22" s="42">
        <v>17</v>
      </c>
      <c r="C22" s="48">
        <f t="shared" si="0"/>
        <v>42811</v>
      </c>
      <c r="D22" s="49">
        <f t="shared" si="4"/>
        <v>17</v>
      </c>
      <c r="E22" s="42">
        <f t="shared" si="5"/>
        <v>6</v>
      </c>
      <c r="F22" s="43">
        <f t="shared" si="11"/>
        <v>3</v>
      </c>
      <c r="G22" s="72">
        <f t="shared" si="6"/>
        <v>36</v>
      </c>
      <c r="H22" s="50">
        <v>17</v>
      </c>
      <c r="I22" s="51">
        <f t="shared" si="1"/>
        <v>317</v>
      </c>
      <c r="J22" s="51" t="e">
        <f>VLOOKUP(I22,祝日!$I$5:$J$31,2,FALSE)</f>
        <v>#N/A</v>
      </c>
      <c r="K22" s="52">
        <f t="shared" si="7"/>
        <v>0</v>
      </c>
      <c r="L22" s="73">
        <f t="shared" si="8"/>
        <v>3</v>
      </c>
      <c r="M22" s="73">
        <f t="shared" si="2"/>
        <v>36</v>
      </c>
      <c r="N22" s="73" t="str">
        <f>VLOOKUP(M22,ゴミの日!$M$3:$P$38,4,FALSE)</f>
        <v>ペットボトル
プラスチック</v>
      </c>
      <c r="O22" s="73" t="str">
        <f>IF(K22=0,N22,IF(ISERROR(FIND(ゴミの日!$D$3,N22,1)),"",ゴミの日!$D$3))</f>
        <v>ペットボトル
プラスチック</v>
      </c>
      <c r="P22" s="73" t="e">
        <f>VLOOKUP(C22,'ゴミの日（特別）'!$B$12:$O$25,14,FALSE)</f>
        <v>#N/A</v>
      </c>
      <c r="Q22" s="74" t="str">
        <f t="shared" si="9"/>
        <v>ペットボトル
プラスチック</v>
      </c>
    </row>
    <row r="23" spans="2:26">
      <c r="B23" s="42">
        <v>18</v>
      </c>
      <c r="C23" s="48">
        <f t="shared" si="0"/>
        <v>42812</v>
      </c>
      <c r="D23" s="49">
        <f t="shared" si="4"/>
        <v>18</v>
      </c>
      <c r="E23" s="42">
        <f t="shared" si="5"/>
        <v>7</v>
      </c>
      <c r="F23" s="43">
        <f t="shared" si="11"/>
        <v>3</v>
      </c>
      <c r="G23" s="72">
        <f t="shared" si="6"/>
        <v>37</v>
      </c>
      <c r="H23" s="50">
        <v>18</v>
      </c>
      <c r="I23" s="51">
        <f t="shared" si="1"/>
        <v>318</v>
      </c>
      <c r="J23" s="51" t="e">
        <f>VLOOKUP(I23,祝日!$I$5:$J$31,2,FALSE)</f>
        <v>#N/A</v>
      </c>
      <c r="K23" s="52">
        <f t="shared" si="7"/>
        <v>0</v>
      </c>
      <c r="L23" s="73">
        <f t="shared" si="8"/>
        <v>3</v>
      </c>
      <c r="M23" s="73">
        <f t="shared" si="2"/>
        <v>37</v>
      </c>
      <c r="N23" s="73" t="str">
        <f>VLOOKUP(M23,ゴミの日!$M$3:$P$38,4,FALSE)</f>
        <v/>
      </c>
      <c r="O23" s="73" t="str">
        <f>IF(K23=0,N23,IF(ISERROR(FIND(ゴミの日!$D$3,N23,1)),"",ゴミの日!$D$3))</f>
        <v/>
      </c>
      <c r="P23" s="73" t="e">
        <f>VLOOKUP(C23,'ゴミの日（特別）'!$B$12:$O$25,14,FALSE)</f>
        <v>#N/A</v>
      </c>
      <c r="Q23" s="74" t="str">
        <f t="shared" si="9"/>
        <v/>
      </c>
    </row>
    <row r="24" spans="2:26">
      <c r="B24" s="42">
        <v>19</v>
      </c>
      <c r="C24" s="48">
        <f t="shared" si="0"/>
        <v>42813</v>
      </c>
      <c r="D24" s="49">
        <f t="shared" si="4"/>
        <v>19</v>
      </c>
      <c r="E24" s="42">
        <f t="shared" si="5"/>
        <v>1</v>
      </c>
      <c r="F24" s="43">
        <f t="shared" si="11"/>
        <v>4</v>
      </c>
      <c r="G24" s="72">
        <f t="shared" si="6"/>
        <v>41</v>
      </c>
      <c r="H24" s="50">
        <v>19</v>
      </c>
      <c r="I24" s="51">
        <f t="shared" si="1"/>
        <v>319</v>
      </c>
      <c r="J24" s="51" t="e">
        <f>VLOOKUP(I24,祝日!$I$5:$J$31,2,FALSE)</f>
        <v>#N/A</v>
      </c>
      <c r="K24" s="52">
        <f t="shared" si="7"/>
        <v>0</v>
      </c>
      <c r="L24" s="73">
        <f t="shared" si="8"/>
        <v>3</v>
      </c>
      <c r="M24" s="73">
        <f t="shared" si="2"/>
        <v>31</v>
      </c>
      <c r="N24" s="73" t="str">
        <f>VLOOKUP(M24,ゴミの日!$M$3:$P$38,4,FALSE)</f>
        <v/>
      </c>
      <c r="O24" s="73" t="str">
        <f>IF(K24=0,N24,IF(ISERROR(FIND(ゴミの日!$D$3,N24,1)),"",ゴミの日!$D$3))</f>
        <v/>
      </c>
      <c r="P24" s="73" t="e">
        <f>VLOOKUP(C24,'ゴミの日（特別）'!$B$12:$O$25,14,FALSE)</f>
        <v>#N/A</v>
      </c>
      <c r="Q24" s="74" t="str">
        <f t="shared" si="9"/>
        <v/>
      </c>
    </row>
    <row r="25" spans="2:26">
      <c r="B25" s="42">
        <v>20</v>
      </c>
      <c r="C25" s="48">
        <f t="shared" si="0"/>
        <v>42814</v>
      </c>
      <c r="D25" s="49">
        <f t="shared" si="4"/>
        <v>20</v>
      </c>
      <c r="E25" s="42">
        <f t="shared" si="5"/>
        <v>2</v>
      </c>
      <c r="F25" s="43">
        <f t="shared" si="11"/>
        <v>4</v>
      </c>
      <c r="G25" s="72">
        <f t="shared" si="6"/>
        <v>42</v>
      </c>
      <c r="H25" s="50">
        <v>20</v>
      </c>
      <c r="I25" s="51">
        <f t="shared" si="1"/>
        <v>320</v>
      </c>
      <c r="J25" s="51">
        <f>VLOOKUP(I25,祝日!$I$5:$J$31,2,FALSE)</f>
        <v>1</v>
      </c>
      <c r="K25" s="52">
        <f t="shared" si="7"/>
        <v>1</v>
      </c>
      <c r="L25" s="73">
        <f t="shared" si="8"/>
        <v>3</v>
      </c>
      <c r="M25" s="73">
        <f t="shared" si="2"/>
        <v>32</v>
      </c>
      <c r="N25" s="73" t="str">
        <f>VLOOKUP(M25,ゴミの日!$M$3:$P$38,4,FALSE)</f>
        <v>一般ゴミ</v>
      </c>
      <c r="O25" s="73" t="str">
        <f>IF(K25=0,N25,IF(ISERROR(FIND(ゴミの日!$D$3,N25,1)),"",ゴミの日!$D$3))</f>
        <v>一般ゴミ</v>
      </c>
      <c r="P25" s="73" t="e">
        <f>VLOOKUP(C25,'ゴミの日（特別）'!$B$12:$O$25,14,FALSE)</f>
        <v>#N/A</v>
      </c>
      <c r="Q25" s="74" t="str">
        <f t="shared" si="9"/>
        <v>一般ゴミ</v>
      </c>
    </row>
    <row r="26" spans="2:26">
      <c r="B26" s="42">
        <v>21</v>
      </c>
      <c r="C26" s="48">
        <f t="shared" si="0"/>
        <v>42815</v>
      </c>
      <c r="D26" s="49">
        <f t="shared" si="4"/>
        <v>21</v>
      </c>
      <c r="E26" s="42">
        <f t="shared" si="5"/>
        <v>3</v>
      </c>
      <c r="F26" s="43">
        <f t="shared" si="11"/>
        <v>4</v>
      </c>
      <c r="G26" s="72">
        <f t="shared" si="6"/>
        <v>43</v>
      </c>
      <c r="H26" s="50">
        <v>21</v>
      </c>
      <c r="I26" s="51">
        <f t="shared" si="1"/>
        <v>321</v>
      </c>
      <c r="J26" s="51">
        <f>VLOOKUP(I26,祝日!$I$5:$J$31,2,FALSE)</f>
        <v>0</v>
      </c>
      <c r="K26" s="52">
        <f t="shared" si="7"/>
        <v>0</v>
      </c>
      <c r="L26" s="73">
        <f t="shared" si="8"/>
        <v>3</v>
      </c>
      <c r="M26" s="73">
        <f t="shared" si="2"/>
        <v>33</v>
      </c>
      <c r="N26" s="73" t="str">
        <f>VLOOKUP(M26,ゴミの日!$M$3:$P$38,4,FALSE)</f>
        <v>ビン・カン類</v>
      </c>
      <c r="O26" s="73" t="str">
        <f>IF(K26=0,N26,IF(ISERROR(FIND(ゴミの日!$D$3,N26,1)),"",ゴミの日!$D$3))</f>
        <v>ビン・カン類</v>
      </c>
      <c r="P26" s="73" t="e">
        <f>VLOOKUP(C26,'ゴミの日（特別）'!$B$12:$O$25,14,FALSE)</f>
        <v>#N/A</v>
      </c>
      <c r="Q26" s="74" t="str">
        <f t="shared" si="9"/>
        <v>ビン・カン類</v>
      </c>
    </row>
    <row r="27" spans="2:26">
      <c r="B27" s="42">
        <v>22</v>
      </c>
      <c r="C27" s="48">
        <f t="shared" si="0"/>
        <v>42816</v>
      </c>
      <c r="D27" s="49">
        <f t="shared" si="4"/>
        <v>22</v>
      </c>
      <c r="E27" s="42">
        <f t="shared" si="5"/>
        <v>4</v>
      </c>
      <c r="F27" s="43">
        <f t="shared" si="11"/>
        <v>4</v>
      </c>
      <c r="G27" s="72">
        <f t="shared" si="6"/>
        <v>44</v>
      </c>
      <c r="H27" s="50">
        <v>22</v>
      </c>
      <c r="I27" s="51">
        <f t="shared" si="1"/>
        <v>322</v>
      </c>
      <c r="J27" s="51" t="e">
        <f>VLOOKUP(I27,祝日!$I$5:$J$31,2,FALSE)</f>
        <v>#N/A</v>
      </c>
      <c r="K27" s="52">
        <f t="shared" si="7"/>
        <v>0</v>
      </c>
      <c r="L27" s="73">
        <f t="shared" si="8"/>
        <v>4</v>
      </c>
      <c r="M27" s="73">
        <f t="shared" si="2"/>
        <v>44</v>
      </c>
      <c r="N27" s="73" t="str">
        <f>VLOOKUP(M27,ゴミの日!$M$3:$P$38,4,FALSE)</f>
        <v/>
      </c>
      <c r="O27" s="73" t="str">
        <f>IF(K27=0,N27,IF(ISERROR(FIND(ゴミの日!$D$3,N27,1)),"",ゴミの日!$D$3))</f>
        <v/>
      </c>
      <c r="P27" s="73" t="e">
        <f>VLOOKUP(C27,'ゴミの日（特別）'!$B$12:$O$25,14,FALSE)</f>
        <v>#N/A</v>
      </c>
      <c r="Q27" s="74" t="str">
        <f t="shared" si="9"/>
        <v/>
      </c>
    </row>
    <row r="28" spans="2:26">
      <c r="B28" s="42">
        <v>23</v>
      </c>
      <c r="C28" s="48">
        <f t="shared" si="0"/>
        <v>42817</v>
      </c>
      <c r="D28" s="49">
        <f t="shared" si="4"/>
        <v>23</v>
      </c>
      <c r="E28" s="42">
        <f t="shared" si="5"/>
        <v>5</v>
      </c>
      <c r="F28" s="43">
        <f t="shared" si="11"/>
        <v>4</v>
      </c>
      <c r="G28" s="72">
        <f t="shared" si="6"/>
        <v>45</v>
      </c>
      <c r="H28" s="50">
        <v>23</v>
      </c>
      <c r="I28" s="51">
        <f t="shared" si="1"/>
        <v>323</v>
      </c>
      <c r="J28" s="51" t="e">
        <f>VLOOKUP(I28,祝日!$I$5:$J$31,2,FALSE)</f>
        <v>#N/A</v>
      </c>
      <c r="K28" s="52">
        <f t="shared" si="7"/>
        <v>0</v>
      </c>
      <c r="L28" s="73">
        <f t="shared" si="8"/>
        <v>4</v>
      </c>
      <c r="M28" s="73">
        <f t="shared" si="2"/>
        <v>45</v>
      </c>
      <c r="N28" s="73" t="str">
        <f>VLOOKUP(M28,ゴミの日!$M$3:$P$38,4,FALSE)</f>
        <v>一般ゴミ</v>
      </c>
      <c r="O28" s="73" t="str">
        <f>IF(K28=0,N28,IF(ISERROR(FIND(ゴミの日!$D$3,N28,1)),"",ゴミの日!$D$3))</f>
        <v>一般ゴミ</v>
      </c>
      <c r="P28" s="73" t="e">
        <f>VLOOKUP(C28,'ゴミの日（特別）'!$B$12:$O$25,14,FALSE)</f>
        <v>#N/A</v>
      </c>
      <c r="Q28" s="74" t="str">
        <f t="shared" si="9"/>
        <v>一般ゴミ</v>
      </c>
    </row>
    <row r="29" spans="2:26">
      <c r="B29" s="42">
        <v>24</v>
      </c>
      <c r="C29" s="48">
        <f t="shared" si="0"/>
        <v>42818</v>
      </c>
      <c r="D29" s="49">
        <f t="shared" si="4"/>
        <v>24</v>
      </c>
      <c r="E29" s="42">
        <f t="shared" si="5"/>
        <v>6</v>
      </c>
      <c r="F29" s="43">
        <f t="shared" si="11"/>
        <v>4</v>
      </c>
      <c r="G29" s="72">
        <f t="shared" si="6"/>
        <v>46</v>
      </c>
      <c r="H29" s="50">
        <v>24</v>
      </c>
      <c r="I29" s="51">
        <f t="shared" si="1"/>
        <v>324</v>
      </c>
      <c r="J29" s="51" t="e">
        <f>VLOOKUP(I29,祝日!$I$5:$J$31,2,FALSE)</f>
        <v>#N/A</v>
      </c>
      <c r="K29" s="52">
        <f t="shared" si="7"/>
        <v>0</v>
      </c>
      <c r="L29" s="73">
        <f t="shared" si="8"/>
        <v>4</v>
      </c>
      <c r="M29" s="73">
        <f t="shared" si="2"/>
        <v>46</v>
      </c>
      <c r="N29" s="73" t="str">
        <f>VLOOKUP(M29,ゴミの日!$M$3:$P$38,4,FALSE)</f>
        <v>有害・危険ゴミ
プラスチック</v>
      </c>
      <c r="O29" s="73" t="str">
        <f>IF(K29=0,N29,IF(ISERROR(FIND(ゴミの日!$D$3,N29,1)),"",ゴミの日!$D$3))</f>
        <v>有害・危険ゴミ
プラスチック</v>
      </c>
      <c r="P29" s="73" t="e">
        <f>VLOOKUP(C29,'ゴミの日（特別）'!$B$12:$O$25,14,FALSE)</f>
        <v>#N/A</v>
      </c>
      <c r="Q29" s="74" t="str">
        <f t="shared" si="9"/>
        <v>有害・危険ゴミ
プラスチック</v>
      </c>
    </row>
    <row r="30" spans="2:26">
      <c r="B30" s="42">
        <v>25</v>
      </c>
      <c r="C30" s="48">
        <f t="shared" si="0"/>
        <v>42819</v>
      </c>
      <c r="D30" s="49">
        <f t="shared" si="4"/>
        <v>25</v>
      </c>
      <c r="E30" s="42">
        <f t="shared" si="5"/>
        <v>7</v>
      </c>
      <c r="F30" s="43">
        <f t="shared" si="11"/>
        <v>4</v>
      </c>
      <c r="G30" s="72">
        <f t="shared" si="6"/>
        <v>47</v>
      </c>
      <c r="H30" s="50">
        <v>25</v>
      </c>
      <c r="I30" s="51">
        <f t="shared" si="1"/>
        <v>325</v>
      </c>
      <c r="J30" s="51" t="e">
        <f>VLOOKUP(I30,祝日!$I$5:$J$31,2,FALSE)</f>
        <v>#N/A</v>
      </c>
      <c r="K30" s="52">
        <f t="shared" si="7"/>
        <v>0</v>
      </c>
      <c r="L30" s="73">
        <f t="shared" si="8"/>
        <v>4</v>
      </c>
      <c r="M30" s="73">
        <f t="shared" si="2"/>
        <v>47</v>
      </c>
      <c r="N30" s="73" t="str">
        <f>VLOOKUP(M30,ゴミの日!$M$3:$P$38,4,FALSE)</f>
        <v/>
      </c>
      <c r="O30" s="73" t="str">
        <f>IF(K30=0,N30,IF(ISERROR(FIND(ゴミの日!$D$3,N30,1)),"",ゴミの日!$D$3))</f>
        <v/>
      </c>
      <c r="P30" s="73" t="e">
        <f>VLOOKUP(C30,'ゴミの日（特別）'!$B$12:$O$25,14,FALSE)</f>
        <v>#N/A</v>
      </c>
      <c r="Q30" s="74" t="str">
        <f t="shared" si="9"/>
        <v/>
      </c>
    </row>
    <row r="31" spans="2:26">
      <c r="B31" s="42">
        <v>26</v>
      </c>
      <c r="C31" s="48">
        <f t="shared" si="0"/>
        <v>42820</v>
      </c>
      <c r="D31" s="49">
        <f t="shared" si="4"/>
        <v>26</v>
      </c>
      <c r="E31" s="42">
        <f t="shared" si="5"/>
        <v>1</v>
      </c>
      <c r="F31" s="43">
        <f t="shared" si="11"/>
        <v>5</v>
      </c>
      <c r="G31" s="72">
        <f t="shared" si="6"/>
        <v>51</v>
      </c>
      <c r="H31" s="50">
        <v>26</v>
      </c>
      <c r="I31" s="51">
        <f t="shared" si="1"/>
        <v>326</v>
      </c>
      <c r="J31" s="51" t="e">
        <f>VLOOKUP(I31,祝日!$I$5:$J$31,2,FALSE)</f>
        <v>#N/A</v>
      </c>
      <c r="K31" s="52">
        <f t="shared" si="7"/>
        <v>0</v>
      </c>
      <c r="L31" s="73">
        <f t="shared" si="8"/>
        <v>4</v>
      </c>
      <c r="M31" s="73">
        <f t="shared" si="2"/>
        <v>41</v>
      </c>
      <c r="N31" s="73" t="str">
        <f>VLOOKUP(M31,ゴミの日!$M$3:$P$38,4,FALSE)</f>
        <v/>
      </c>
      <c r="O31" s="73" t="str">
        <f>IF(K31=0,N31,IF(ISERROR(FIND(ゴミの日!$D$3,N31,1)),"",ゴミの日!$D$3))</f>
        <v/>
      </c>
      <c r="P31" s="73" t="e">
        <f>VLOOKUP(C31,'ゴミの日（特別）'!$B$12:$O$25,14,FALSE)</f>
        <v>#N/A</v>
      </c>
      <c r="Q31" s="74" t="str">
        <f t="shared" si="9"/>
        <v/>
      </c>
    </row>
    <row r="32" spans="2:26">
      <c r="B32" s="42">
        <v>27</v>
      </c>
      <c r="C32" s="48">
        <f t="shared" si="0"/>
        <v>42821</v>
      </c>
      <c r="D32" s="49">
        <f t="shared" si="4"/>
        <v>27</v>
      </c>
      <c r="E32" s="42">
        <f t="shared" si="5"/>
        <v>2</v>
      </c>
      <c r="F32" s="43">
        <f t="shared" si="11"/>
        <v>5</v>
      </c>
      <c r="G32" s="72">
        <f t="shared" si="6"/>
        <v>52</v>
      </c>
      <c r="H32" s="50">
        <v>27</v>
      </c>
      <c r="I32" s="51">
        <f t="shared" si="1"/>
        <v>327</v>
      </c>
      <c r="J32" s="51" t="e">
        <f>VLOOKUP(I32,祝日!$I$5:$J$31,2,FALSE)</f>
        <v>#N/A</v>
      </c>
      <c r="K32" s="52">
        <f t="shared" si="7"/>
        <v>0</v>
      </c>
      <c r="L32" s="73">
        <f t="shared" si="8"/>
        <v>4</v>
      </c>
      <c r="M32" s="73">
        <f t="shared" si="2"/>
        <v>42</v>
      </c>
      <c r="N32" s="73" t="str">
        <f>VLOOKUP(M32,ゴミの日!$M$3:$P$38,4,FALSE)</f>
        <v>一般ゴミ</v>
      </c>
      <c r="O32" s="73" t="str">
        <f>IF(K32=0,N32,IF(ISERROR(FIND(ゴミの日!$D$3,N32,1)),"",ゴミの日!$D$3))</f>
        <v>一般ゴミ</v>
      </c>
      <c r="P32" s="73" t="e">
        <f>VLOOKUP(C32,'ゴミの日（特別）'!$B$12:$O$25,14,FALSE)</f>
        <v>#N/A</v>
      </c>
      <c r="Q32" s="74" t="str">
        <f t="shared" si="9"/>
        <v>一般ゴミ</v>
      </c>
    </row>
    <row r="33" spans="2:26">
      <c r="B33" s="42">
        <v>28</v>
      </c>
      <c r="C33" s="48">
        <f t="shared" si="0"/>
        <v>42822</v>
      </c>
      <c r="D33" s="49">
        <f t="shared" si="4"/>
        <v>28</v>
      </c>
      <c r="E33" s="42">
        <f t="shared" si="5"/>
        <v>3</v>
      </c>
      <c r="F33" s="43">
        <f t="shared" si="11"/>
        <v>5</v>
      </c>
      <c r="G33" s="72">
        <f t="shared" si="6"/>
        <v>53</v>
      </c>
      <c r="H33" s="50">
        <v>28</v>
      </c>
      <c r="I33" s="51">
        <f t="shared" si="1"/>
        <v>328</v>
      </c>
      <c r="J33" s="51" t="e">
        <f>VLOOKUP(I33,祝日!$I$5:$J$31,2,FALSE)</f>
        <v>#N/A</v>
      </c>
      <c r="K33" s="52">
        <f>IF(ISNA(J33),0,J33)</f>
        <v>0</v>
      </c>
      <c r="L33" s="73">
        <f t="shared" si="8"/>
        <v>4</v>
      </c>
      <c r="M33" s="73">
        <f t="shared" si="2"/>
        <v>43</v>
      </c>
      <c r="N33" s="73" t="str">
        <f>VLOOKUP(M33,ゴミの日!$M$3:$P$38,4,FALSE)</f>
        <v>紙布</v>
      </c>
      <c r="O33" s="73" t="str">
        <f>IF(K33=0,N33,IF(ISERROR(FIND(ゴミの日!$D$3,N33,1)),"",ゴミの日!$D$3))</f>
        <v>紙布</v>
      </c>
      <c r="P33" s="73" t="e">
        <f>VLOOKUP(C33,'ゴミの日（特別）'!$B$12:$O$25,14,FALSE)</f>
        <v>#N/A</v>
      </c>
      <c r="Q33" s="74" t="str">
        <f t="shared" si="9"/>
        <v>紙布</v>
      </c>
    </row>
    <row r="34" spans="2:26">
      <c r="B34" s="42">
        <v>29</v>
      </c>
      <c r="C34" s="48">
        <f t="shared" si="0"/>
        <v>42823</v>
      </c>
      <c r="D34" s="49">
        <f t="shared" si="4"/>
        <v>29</v>
      </c>
      <c r="E34" s="42">
        <f t="shared" si="5"/>
        <v>4</v>
      </c>
      <c r="F34" s="43">
        <f t="shared" si="11"/>
        <v>5</v>
      </c>
      <c r="G34" s="72">
        <f t="shared" si="6"/>
        <v>54</v>
      </c>
      <c r="H34" s="50">
        <f>IF(B34=D34,B34,"")</f>
        <v>29</v>
      </c>
      <c r="I34" s="51">
        <f>IF(H34="","",$U$3*100+H34)</f>
        <v>329</v>
      </c>
      <c r="J34" s="51" t="e">
        <f>IF(H34="","",VLOOKUP(I34,祝日!$I$5:$J$31,2,FALSE))</f>
        <v>#N/A</v>
      </c>
      <c r="K34" s="52">
        <f>IF(H34="","",IF(ISNA(J34),0,J34))</f>
        <v>0</v>
      </c>
      <c r="L34" s="73">
        <f t="shared" si="8"/>
        <v>5</v>
      </c>
      <c r="M34" s="73">
        <f t="shared" si="2"/>
        <v>54</v>
      </c>
      <c r="N34" s="73" t="str">
        <f>IF(H34="","",VLOOKUP(M34,ゴミの日!$M$3:$P$38,4,FALSE))</f>
        <v/>
      </c>
      <c r="O34" s="73" t="str">
        <f>IF(H34="","",IF(K34=0,N34,IF(ISERROR(FIND(ゴミの日!$D$3,N34,1)),"",ゴミの日!$D$3)))</f>
        <v/>
      </c>
      <c r="P34" s="73" t="e">
        <f>VLOOKUP(C34,'ゴミの日（特別）'!$B$12:$O$25,14,FALSE)</f>
        <v>#N/A</v>
      </c>
      <c r="Q34" s="74" t="str">
        <f t="shared" si="9"/>
        <v/>
      </c>
    </row>
    <row r="35" spans="2:26">
      <c r="B35" s="42">
        <v>30</v>
      </c>
      <c r="C35" s="48">
        <f t="shared" si="0"/>
        <v>42824</v>
      </c>
      <c r="D35" s="49">
        <f t="shared" si="4"/>
        <v>30</v>
      </c>
      <c r="E35" s="42">
        <f t="shared" si="5"/>
        <v>5</v>
      </c>
      <c r="F35" s="43">
        <f t="shared" si="11"/>
        <v>5</v>
      </c>
      <c r="G35" s="72">
        <f t="shared" si="6"/>
        <v>55</v>
      </c>
      <c r="H35" s="50">
        <f>IF(B35=D35,B35,"")</f>
        <v>30</v>
      </c>
      <c r="I35" s="51">
        <f>IF(H35="","",$U$3*100+H35)</f>
        <v>330</v>
      </c>
      <c r="J35" s="51" t="e">
        <f>IF(H35="","",VLOOKUP(I35,祝日!$I$5:$J$31,2,FALSE))</f>
        <v>#N/A</v>
      </c>
      <c r="K35" s="52">
        <f>IF(H35="","",IF(ISNA(J35),0,J35))</f>
        <v>0</v>
      </c>
      <c r="L35" s="73">
        <f t="shared" si="8"/>
        <v>5</v>
      </c>
      <c r="M35" s="73">
        <f t="shared" si="2"/>
        <v>55</v>
      </c>
      <c r="N35" s="73" t="str">
        <f>IF(H35="","",VLOOKUP(M35,ゴミの日!$M$3:$P$38,4,FALSE))</f>
        <v>一般ゴミ</v>
      </c>
      <c r="O35" s="73" t="str">
        <f>IF(H35="","",IF(K35=0,N35,IF(ISERROR(FIND(ゴミの日!$D$3,N35,1)),"",ゴミの日!$D$3)))</f>
        <v>一般ゴミ</v>
      </c>
      <c r="P35" s="73" t="e">
        <f>VLOOKUP(C35,'ゴミの日（特別）'!$B$12:$O$25,14,FALSE)</f>
        <v>#N/A</v>
      </c>
      <c r="Q35" s="74" t="str">
        <f t="shared" si="9"/>
        <v>一般ゴミ</v>
      </c>
    </row>
    <row r="36" spans="2:26" ht="14.25" thickBot="1">
      <c r="B36" s="42">
        <v>31</v>
      </c>
      <c r="C36" s="48">
        <f t="shared" si="0"/>
        <v>42825</v>
      </c>
      <c r="D36" s="49">
        <f t="shared" si="4"/>
        <v>31</v>
      </c>
      <c r="E36" s="42">
        <f t="shared" si="5"/>
        <v>6</v>
      </c>
      <c r="F36" s="43">
        <f t="shared" si="11"/>
        <v>5</v>
      </c>
      <c r="G36" s="75">
        <f t="shared" si="6"/>
        <v>56</v>
      </c>
      <c r="H36" s="76">
        <f>IF(B36=D36,B36,"")</f>
        <v>31</v>
      </c>
      <c r="I36" s="77">
        <f>IF(H36="","",$U$3*100+H36)</f>
        <v>331</v>
      </c>
      <c r="J36" s="77" t="e">
        <f>IF(H36="","",VLOOKUP(I36,祝日!$I$5:$J$31,2,FALSE))</f>
        <v>#N/A</v>
      </c>
      <c r="K36" s="78">
        <f>IF(H36="","",IF(ISNA(J36),0,J36))</f>
        <v>0</v>
      </c>
      <c r="L36" s="79">
        <f t="shared" si="8"/>
        <v>5</v>
      </c>
      <c r="M36" s="79">
        <f t="shared" si="2"/>
        <v>56</v>
      </c>
      <c r="N36" s="79" t="str">
        <f>IF(H36="","",VLOOKUP(M36,ゴミの日!$M$3:$P$38,4,FALSE))</f>
        <v>プラスチック</v>
      </c>
      <c r="O36" s="79" t="str">
        <f>IF(H36="","",IF(K36=0,N36,IF(ISERROR(FIND(ゴミの日!$D$3,N36,1)),"",ゴミの日!$D$3)))</f>
        <v>プラスチック</v>
      </c>
      <c r="P36" s="79" t="e">
        <f>VLOOKUP(C36,'ゴミの日（特別）'!$B$12:$O$25,14,FALSE)</f>
        <v>#N/A</v>
      </c>
      <c r="Q36" s="80" t="str">
        <f t="shared" si="9"/>
        <v>プラスチック</v>
      </c>
    </row>
    <row r="38" spans="2:26" hidden="1">
      <c r="S38" s="12" t="s">
        <v>40</v>
      </c>
      <c r="T38" s="53" t="s">
        <v>0</v>
      </c>
      <c r="U38" s="53" t="s">
        <v>18</v>
      </c>
      <c r="V38" s="53" t="s">
        <v>19</v>
      </c>
      <c r="W38" s="53" t="s">
        <v>20</v>
      </c>
      <c r="X38" s="53" t="s">
        <v>21</v>
      </c>
      <c r="Y38" s="53" t="s">
        <v>22</v>
      </c>
      <c r="Z38" s="53" t="s">
        <v>23</v>
      </c>
    </row>
    <row r="39" spans="2:26" hidden="1">
      <c r="S39" s="12" t="s">
        <v>10</v>
      </c>
      <c r="T39" s="12">
        <v>11</v>
      </c>
      <c r="U39" s="12">
        <v>12</v>
      </c>
      <c r="V39" s="12">
        <v>13</v>
      </c>
      <c r="W39" s="12">
        <v>14</v>
      </c>
      <c r="X39" s="12">
        <v>15</v>
      </c>
      <c r="Y39" s="12">
        <v>16</v>
      </c>
      <c r="Z39" s="12">
        <v>17</v>
      </c>
    </row>
    <row r="40" spans="2:26" hidden="1">
      <c r="S40" s="12" t="s">
        <v>10</v>
      </c>
      <c r="T40" s="12">
        <v>11</v>
      </c>
      <c r="U40" s="12">
        <v>12</v>
      </c>
      <c r="V40" s="12">
        <v>13</v>
      </c>
      <c r="W40" s="12">
        <v>14</v>
      </c>
      <c r="X40" s="12">
        <v>15</v>
      </c>
      <c r="Y40" s="12">
        <v>16</v>
      </c>
      <c r="Z40" s="12">
        <v>17</v>
      </c>
    </row>
    <row r="41" spans="2:26" hidden="1">
      <c r="S41" s="12" t="s">
        <v>11</v>
      </c>
      <c r="T41" s="12">
        <v>21</v>
      </c>
      <c r="U41" s="12">
        <v>22</v>
      </c>
      <c r="V41" s="12">
        <v>23</v>
      </c>
      <c r="W41" s="12">
        <v>24</v>
      </c>
      <c r="X41" s="12">
        <v>25</v>
      </c>
      <c r="Y41" s="12">
        <v>26</v>
      </c>
      <c r="Z41" s="12">
        <v>27</v>
      </c>
    </row>
    <row r="42" spans="2:26" hidden="1">
      <c r="S42" s="12" t="s">
        <v>11</v>
      </c>
      <c r="T42" s="12">
        <v>21</v>
      </c>
      <c r="U42" s="12">
        <v>22</v>
      </c>
      <c r="V42" s="12">
        <v>23</v>
      </c>
      <c r="W42" s="12">
        <v>24</v>
      </c>
      <c r="X42" s="12">
        <v>25</v>
      </c>
      <c r="Y42" s="12">
        <v>26</v>
      </c>
      <c r="Z42" s="12">
        <v>27</v>
      </c>
    </row>
    <row r="43" spans="2:26" hidden="1">
      <c r="S43" s="12" t="s">
        <v>12</v>
      </c>
      <c r="T43" s="12">
        <v>31</v>
      </c>
      <c r="U43" s="12">
        <v>32</v>
      </c>
      <c r="V43" s="12">
        <v>33</v>
      </c>
      <c r="W43" s="12">
        <v>34</v>
      </c>
      <c r="X43" s="12">
        <v>35</v>
      </c>
      <c r="Y43" s="12">
        <v>36</v>
      </c>
      <c r="Z43" s="12">
        <v>37</v>
      </c>
    </row>
    <row r="44" spans="2:26" hidden="1">
      <c r="S44" s="12" t="s">
        <v>12</v>
      </c>
      <c r="T44" s="12">
        <v>31</v>
      </c>
      <c r="U44" s="12">
        <v>32</v>
      </c>
      <c r="V44" s="12">
        <v>33</v>
      </c>
      <c r="W44" s="12">
        <v>34</v>
      </c>
      <c r="X44" s="12">
        <v>35</v>
      </c>
      <c r="Y44" s="12">
        <v>36</v>
      </c>
      <c r="Z44" s="12">
        <v>37</v>
      </c>
    </row>
    <row r="45" spans="2:26" hidden="1">
      <c r="S45" s="12" t="s">
        <v>13</v>
      </c>
      <c r="T45" s="12">
        <v>41</v>
      </c>
      <c r="U45" s="12">
        <v>42</v>
      </c>
      <c r="V45" s="12">
        <v>43</v>
      </c>
      <c r="W45" s="12">
        <v>44</v>
      </c>
      <c r="X45" s="12">
        <v>45</v>
      </c>
      <c r="Y45" s="12">
        <v>46</v>
      </c>
      <c r="Z45" s="12">
        <v>47</v>
      </c>
    </row>
    <row r="46" spans="2:26" hidden="1">
      <c r="S46" s="12" t="s">
        <v>13</v>
      </c>
      <c r="T46" s="12">
        <v>41</v>
      </c>
      <c r="U46" s="12">
        <v>42</v>
      </c>
      <c r="V46" s="12">
        <v>43</v>
      </c>
      <c r="W46" s="12">
        <v>44</v>
      </c>
      <c r="X46" s="12">
        <v>45</v>
      </c>
      <c r="Y46" s="12">
        <v>46</v>
      </c>
      <c r="Z46" s="12">
        <v>47</v>
      </c>
    </row>
    <row r="47" spans="2:26" hidden="1">
      <c r="S47" s="12" t="s">
        <v>14</v>
      </c>
      <c r="T47" s="12">
        <v>51</v>
      </c>
      <c r="U47" s="12">
        <v>52</v>
      </c>
      <c r="V47" s="12">
        <v>53</v>
      </c>
      <c r="W47" s="12">
        <v>54</v>
      </c>
      <c r="X47" s="12">
        <v>55</v>
      </c>
      <c r="Y47" s="12">
        <v>56</v>
      </c>
      <c r="Z47" s="12">
        <v>57</v>
      </c>
    </row>
    <row r="48" spans="2:26" hidden="1">
      <c r="S48" s="12" t="s">
        <v>14</v>
      </c>
      <c r="T48" s="12">
        <v>51</v>
      </c>
      <c r="U48" s="12">
        <v>52</v>
      </c>
      <c r="V48" s="12">
        <v>53</v>
      </c>
      <c r="W48" s="12">
        <v>54</v>
      </c>
      <c r="X48" s="12">
        <v>55</v>
      </c>
      <c r="Y48" s="12">
        <v>56</v>
      </c>
      <c r="Z48" s="12">
        <v>57</v>
      </c>
    </row>
    <row r="49" spans="19:26" hidden="1">
      <c r="S49" s="12" t="s">
        <v>32</v>
      </c>
      <c r="T49" s="12">
        <v>61</v>
      </c>
      <c r="U49" s="12">
        <v>62</v>
      </c>
      <c r="V49" s="12">
        <v>63</v>
      </c>
      <c r="W49" s="12">
        <v>64</v>
      </c>
      <c r="X49" s="12">
        <v>65</v>
      </c>
      <c r="Y49" s="12">
        <v>66</v>
      </c>
      <c r="Z49" s="12">
        <v>67</v>
      </c>
    </row>
    <row r="50" spans="19:26" hidden="1">
      <c r="S50" s="12" t="s">
        <v>32</v>
      </c>
      <c r="T50" s="12">
        <v>61</v>
      </c>
      <c r="U50" s="12">
        <v>62</v>
      </c>
      <c r="V50" s="12">
        <v>63</v>
      </c>
      <c r="W50" s="12">
        <v>64</v>
      </c>
      <c r="X50" s="12">
        <v>65</v>
      </c>
      <c r="Y50" s="12">
        <v>66</v>
      </c>
      <c r="Z50" s="12">
        <v>67</v>
      </c>
    </row>
    <row r="51" spans="19:26" hidden="1"/>
    <row r="52" spans="19:26" hidden="1"/>
    <row r="53" spans="19:26" hidden="1"/>
    <row r="54" spans="19:26" hidden="1">
      <c r="S54" s="12" t="s">
        <v>144</v>
      </c>
      <c r="T54" s="53" t="s">
        <v>145</v>
      </c>
      <c r="U54" s="53" t="s">
        <v>139</v>
      </c>
    </row>
    <row r="55" spans="19:26" hidden="1">
      <c r="T55" s="54" t="s">
        <v>143</v>
      </c>
      <c r="U55" s="54">
        <v>1</v>
      </c>
    </row>
    <row r="56" spans="19:26" hidden="1">
      <c r="T56" s="55"/>
      <c r="U56" s="54">
        <v>2</v>
      </c>
    </row>
    <row r="57" spans="19:26" hidden="1">
      <c r="T57" s="55"/>
      <c r="U57" s="54">
        <v>3</v>
      </c>
    </row>
    <row r="58" spans="19:26" hidden="1">
      <c r="T58" s="55"/>
      <c r="U58" s="54">
        <v>4</v>
      </c>
    </row>
    <row r="59" spans="19:26" hidden="1">
      <c r="U59" s="54">
        <v>5</v>
      </c>
    </row>
    <row r="60" spans="19:26" hidden="1">
      <c r="U60" s="54">
        <v>6</v>
      </c>
    </row>
    <row r="61" spans="19:26" hidden="1">
      <c r="U61" s="54">
        <v>7</v>
      </c>
    </row>
    <row r="62" spans="19:26" hidden="1">
      <c r="U62" s="54">
        <v>8</v>
      </c>
    </row>
    <row r="63" spans="19:26" hidden="1">
      <c r="U63" s="54">
        <v>9</v>
      </c>
    </row>
    <row r="64" spans="19:26" hidden="1">
      <c r="U64" s="54">
        <v>10</v>
      </c>
    </row>
    <row r="65" spans="21:21" hidden="1">
      <c r="U65" s="54">
        <v>11</v>
      </c>
    </row>
    <row r="66" spans="21:21" hidden="1">
      <c r="U66" s="54">
        <v>12</v>
      </c>
    </row>
  </sheetData>
  <sheetProtection sheet="1" objects="1" scenarios="1"/>
  <mergeCells count="7">
    <mergeCell ref="T20:Z20"/>
    <mergeCell ref="T18:Z18"/>
    <mergeCell ref="T1:Z1"/>
    <mergeCell ref="T2:Z2"/>
    <mergeCell ref="V3:Z3"/>
    <mergeCell ref="T4:Z4"/>
    <mergeCell ref="T19:Z19"/>
  </mergeCells>
  <phoneticPr fontId="1"/>
  <conditionalFormatting sqref="T6:Z17">
    <cfRule type="expression" dxfId="0" priority="20">
      <formula>VLOOKUP(T39,$G$6:$O$36,5)=1</formula>
    </cfRule>
  </conditionalFormatting>
  <dataValidations count="2">
    <dataValidation type="whole" allowBlank="1" showInputMessage="1" showErrorMessage="1" sqref="T3">
      <formula1>2017</formula1>
      <formula2>2099</formula2>
    </dataValidation>
    <dataValidation type="list" allowBlank="1" showInputMessage="1" showErrorMessage="1" sqref="U3">
      <formula1>月のリスト</formula1>
    </dataValidation>
  </dataValidations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selection activeCell="D4" sqref="D4"/>
    </sheetView>
  </sheetViews>
  <sheetFormatPr defaultRowHeight="13.5"/>
  <cols>
    <col min="1" max="1" width="1" style="1" customWidth="1"/>
    <col min="2" max="2" width="3.75" style="9" bestFit="1" customWidth="1"/>
    <col min="3" max="3" width="5.75" style="9" bestFit="1" customWidth="1"/>
    <col min="4" max="11" width="11.875" customWidth="1"/>
    <col min="12" max="12" width="4" hidden="1" customWidth="1"/>
    <col min="13" max="13" width="9" hidden="1" customWidth="1"/>
    <col min="14" max="14" width="27.5" hidden="1" customWidth="1"/>
    <col min="15" max="15" width="25.375" hidden="1" customWidth="1"/>
    <col min="16" max="16" width="23.25" hidden="1" customWidth="1"/>
  </cols>
  <sheetData>
    <row r="1" spans="2:16" s="1" customFormat="1" ht="25.5">
      <c r="B1" s="81" t="s">
        <v>153</v>
      </c>
      <c r="C1" s="9"/>
    </row>
    <row r="3" spans="2:16" s="3" customFormat="1">
      <c r="B3" s="92" t="s">
        <v>25</v>
      </c>
      <c r="C3" s="92" t="s">
        <v>3</v>
      </c>
      <c r="D3" s="92" t="s">
        <v>26</v>
      </c>
      <c r="E3" s="92" t="s">
        <v>27</v>
      </c>
      <c r="F3" s="92" t="s">
        <v>28</v>
      </c>
      <c r="G3" s="93" t="s">
        <v>29</v>
      </c>
      <c r="H3" s="92" t="s">
        <v>33</v>
      </c>
      <c r="I3" s="92" t="s">
        <v>34</v>
      </c>
      <c r="J3" s="92" t="s">
        <v>30</v>
      </c>
      <c r="K3" s="92" t="s">
        <v>31</v>
      </c>
      <c r="M3" s="7" t="s">
        <v>38</v>
      </c>
      <c r="N3" s="7" t="s">
        <v>37</v>
      </c>
      <c r="O3" s="7" t="s">
        <v>35</v>
      </c>
      <c r="P3" s="7" t="s">
        <v>36</v>
      </c>
    </row>
    <row r="4" spans="2:16" s="1" customFormat="1">
      <c r="B4" s="10">
        <v>1</v>
      </c>
      <c r="C4" s="10" t="s">
        <v>24</v>
      </c>
      <c r="D4" s="13"/>
      <c r="E4" s="13"/>
      <c r="F4" s="13"/>
      <c r="G4" s="13"/>
      <c r="H4" s="13"/>
      <c r="I4" s="13"/>
      <c r="J4" s="13"/>
      <c r="K4" s="13"/>
      <c r="M4" s="2">
        <v>11</v>
      </c>
      <c r="N4" s="2" t="str">
        <f t="shared" ref="N4:N38" si="0">IF(D4=1,$D$3&amp;"／","")&amp;IF(E4=1,$E$3&amp;"／","")&amp;IF(F4=1,$F$3&amp;"／","")&amp;IF(G4=1,$G$3&amp;"／","")&amp;IF(H4=1,$H$3&amp;"／","")&amp;IF(I4=1,$I$3&amp;"／","")&amp;IF(J4=1,$J$3&amp;"／","")&amp;IF(K4=1,$K$3&amp;"／","")</f>
        <v/>
      </c>
      <c r="O4" s="2" t="str">
        <f t="shared" ref="O4:O38" si="1">IF(N4="","",LEFT(N4,LEN(N4)-1))</f>
        <v/>
      </c>
      <c r="P4" s="15" t="str">
        <f t="shared" ref="P4:P8" si="2">SUBSTITUTE(O4,"／",CHAR(10))</f>
        <v/>
      </c>
    </row>
    <row r="5" spans="2:16">
      <c r="B5" s="8">
        <v>1</v>
      </c>
      <c r="C5" s="8" t="s">
        <v>4</v>
      </c>
      <c r="D5" s="4">
        <v>1</v>
      </c>
      <c r="E5" s="4"/>
      <c r="F5" s="4"/>
      <c r="G5" s="4"/>
      <c r="H5" s="4"/>
      <c r="I5" s="4"/>
      <c r="J5" s="4"/>
      <c r="K5" s="4"/>
      <c r="M5" s="2">
        <v>12</v>
      </c>
      <c r="N5" s="2" t="str">
        <f t="shared" si="0"/>
        <v>一般ゴミ／</v>
      </c>
      <c r="O5" s="2" t="str">
        <f t="shared" si="1"/>
        <v>一般ゴミ</v>
      </c>
      <c r="P5" s="15" t="str">
        <f t="shared" si="2"/>
        <v>一般ゴミ</v>
      </c>
    </row>
    <row r="6" spans="2:16">
      <c r="B6" s="8">
        <v>1</v>
      </c>
      <c r="C6" s="8" t="s">
        <v>19</v>
      </c>
      <c r="D6" s="4"/>
      <c r="E6" s="4"/>
      <c r="F6" s="4"/>
      <c r="G6" s="4"/>
      <c r="H6" s="4">
        <v>1</v>
      </c>
      <c r="I6" s="4"/>
      <c r="J6" s="4"/>
      <c r="K6" s="4"/>
      <c r="M6" s="2">
        <v>13</v>
      </c>
      <c r="N6" s="2" t="str">
        <f t="shared" si="0"/>
        <v>ビン・カン類／</v>
      </c>
      <c r="O6" s="2" t="str">
        <f t="shared" si="1"/>
        <v>ビン・カン類</v>
      </c>
      <c r="P6" s="15" t="str">
        <f t="shared" si="2"/>
        <v>ビン・カン類</v>
      </c>
    </row>
    <row r="7" spans="2:16">
      <c r="B7" s="8">
        <v>1</v>
      </c>
      <c r="C7" s="8" t="s">
        <v>20</v>
      </c>
      <c r="D7" s="4"/>
      <c r="E7" s="4">
        <v>1</v>
      </c>
      <c r="F7" s="4"/>
      <c r="G7" s="4"/>
      <c r="H7" s="4"/>
      <c r="I7" s="4"/>
      <c r="J7" s="4"/>
      <c r="K7" s="4"/>
      <c r="M7" s="2">
        <v>14</v>
      </c>
      <c r="N7" s="2" t="str">
        <f t="shared" si="0"/>
        <v>金属ゴミ／</v>
      </c>
      <c r="O7" s="2" t="str">
        <f t="shared" si="1"/>
        <v>金属ゴミ</v>
      </c>
      <c r="P7" s="15" t="str">
        <f t="shared" si="2"/>
        <v>金属ゴミ</v>
      </c>
    </row>
    <row r="8" spans="2:16">
      <c r="B8" s="8">
        <v>1</v>
      </c>
      <c r="C8" s="8" t="s">
        <v>21</v>
      </c>
      <c r="D8" s="4">
        <v>1</v>
      </c>
      <c r="E8" s="4"/>
      <c r="F8" s="4"/>
      <c r="G8" s="4"/>
      <c r="H8" s="4"/>
      <c r="I8" s="4"/>
      <c r="J8" s="4"/>
      <c r="K8" s="4"/>
      <c r="M8" s="2">
        <v>15</v>
      </c>
      <c r="N8" s="2" t="str">
        <f t="shared" si="0"/>
        <v>一般ゴミ／</v>
      </c>
      <c r="O8" s="2" t="str">
        <f t="shared" si="1"/>
        <v>一般ゴミ</v>
      </c>
      <c r="P8" s="15" t="str">
        <f t="shared" si="2"/>
        <v>一般ゴミ</v>
      </c>
    </row>
    <row r="9" spans="2:16">
      <c r="B9" s="8">
        <v>1</v>
      </c>
      <c r="C9" s="8" t="s">
        <v>22</v>
      </c>
      <c r="D9" s="4"/>
      <c r="E9" s="4"/>
      <c r="F9" s="4"/>
      <c r="G9" s="4"/>
      <c r="H9" s="4"/>
      <c r="I9" s="4">
        <v>1</v>
      </c>
      <c r="J9" s="4">
        <v>1</v>
      </c>
      <c r="K9" s="4"/>
      <c r="M9" s="2">
        <v>16</v>
      </c>
      <c r="N9" s="2" t="str">
        <f t="shared" si="0"/>
        <v>ペットボトル／プラスチック／</v>
      </c>
      <c r="O9" s="2" t="str">
        <f t="shared" si="1"/>
        <v>ペットボトル／プラスチック</v>
      </c>
      <c r="P9" s="15" t="str">
        <f>SUBSTITUTE(O9,"／",CHAR(10))</f>
        <v>ペットボトル
プラスチック</v>
      </c>
    </row>
    <row r="10" spans="2:16">
      <c r="B10" s="11">
        <v>1</v>
      </c>
      <c r="C10" s="11" t="s">
        <v>23</v>
      </c>
      <c r="D10" s="14"/>
      <c r="E10" s="14"/>
      <c r="F10" s="14"/>
      <c r="G10" s="14"/>
      <c r="H10" s="14"/>
      <c r="I10" s="14"/>
      <c r="J10" s="14"/>
      <c r="K10" s="14"/>
      <c r="M10" s="2">
        <v>17</v>
      </c>
      <c r="N10" s="2" t="str">
        <f>IF(D10=1,$D$3&amp;"／","")&amp;IF(E10=1,$E$3&amp;"／","")&amp;IF(F10=1,$F$3&amp;"／","")&amp;IF(G10=1,$G$3&amp;"／","")&amp;IF(H10=1,$H$3&amp;"／","")&amp;IF(I10=1,$I$3&amp;"／","")&amp;IF(J10=1,$J$3&amp;"／","")&amp;IF(K10=1,$K$3&amp;"／","")</f>
        <v/>
      </c>
      <c r="O10" s="2" t="str">
        <f>IF(N10="","",LEFT(N10,LEN(N10)-1))</f>
        <v/>
      </c>
      <c r="P10" s="15" t="str">
        <f t="shared" ref="P10:P38" si="3">SUBSTITUTE(O10,"／",CHAR(10))</f>
        <v/>
      </c>
    </row>
    <row r="11" spans="2:16">
      <c r="B11" s="10">
        <v>2</v>
      </c>
      <c r="C11" s="10" t="s">
        <v>24</v>
      </c>
      <c r="D11" s="13"/>
      <c r="E11" s="13"/>
      <c r="F11" s="13"/>
      <c r="G11" s="13"/>
      <c r="H11" s="13"/>
      <c r="I11" s="13"/>
      <c r="J11" s="13"/>
      <c r="K11" s="13"/>
      <c r="M11" s="2">
        <v>21</v>
      </c>
      <c r="N11" s="2" t="str">
        <f t="shared" si="0"/>
        <v/>
      </c>
      <c r="O11" s="2" t="str">
        <f t="shared" si="1"/>
        <v/>
      </c>
      <c r="P11" s="15" t="str">
        <f t="shared" si="3"/>
        <v/>
      </c>
    </row>
    <row r="12" spans="2:16">
      <c r="B12" s="8">
        <v>2</v>
      </c>
      <c r="C12" s="8" t="s">
        <v>18</v>
      </c>
      <c r="D12" s="4">
        <v>1</v>
      </c>
      <c r="E12" s="4"/>
      <c r="F12" s="4"/>
      <c r="G12" s="4"/>
      <c r="H12" s="4"/>
      <c r="I12" s="4"/>
      <c r="J12" s="4"/>
      <c r="K12" s="4"/>
      <c r="M12" s="2">
        <v>22</v>
      </c>
      <c r="N12" s="2" t="str">
        <f t="shared" si="0"/>
        <v>一般ゴミ／</v>
      </c>
      <c r="O12" s="2" t="str">
        <f t="shared" si="1"/>
        <v>一般ゴミ</v>
      </c>
      <c r="P12" s="15" t="str">
        <f t="shared" si="3"/>
        <v>一般ゴミ</v>
      </c>
    </row>
    <row r="13" spans="2:16">
      <c r="B13" s="8">
        <v>2</v>
      </c>
      <c r="C13" s="8" t="s">
        <v>19</v>
      </c>
      <c r="D13" s="4"/>
      <c r="E13" s="4"/>
      <c r="F13" s="4"/>
      <c r="G13" s="4"/>
      <c r="H13" s="4"/>
      <c r="I13" s="4"/>
      <c r="J13" s="4"/>
      <c r="K13" s="4">
        <v>1</v>
      </c>
      <c r="M13" s="2">
        <v>23</v>
      </c>
      <c r="N13" s="2" t="str">
        <f t="shared" si="0"/>
        <v>紙布／</v>
      </c>
      <c r="O13" s="2" t="str">
        <f t="shared" si="1"/>
        <v>紙布</v>
      </c>
      <c r="P13" s="15" t="str">
        <f t="shared" si="3"/>
        <v>紙布</v>
      </c>
    </row>
    <row r="14" spans="2:16">
      <c r="B14" s="8">
        <v>2</v>
      </c>
      <c r="C14" s="8" t="s">
        <v>20</v>
      </c>
      <c r="D14" s="4"/>
      <c r="E14" s="4"/>
      <c r="F14" s="4"/>
      <c r="G14" s="4"/>
      <c r="H14" s="4"/>
      <c r="I14" s="4"/>
      <c r="J14" s="4"/>
      <c r="K14" s="4"/>
      <c r="M14" s="2">
        <v>24</v>
      </c>
      <c r="N14" s="2" t="str">
        <f t="shared" si="0"/>
        <v/>
      </c>
      <c r="O14" s="2" t="str">
        <f t="shared" si="1"/>
        <v/>
      </c>
      <c r="P14" s="15" t="str">
        <f t="shared" si="3"/>
        <v/>
      </c>
    </row>
    <row r="15" spans="2:16">
      <c r="B15" s="8">
        <v>2</v>
      </c>
      <c r="C15" s="8" t="s">
        <v>21</v>
      </c>
      <c r="D15" s="4">
        <v>1</v>
      </c>
      <c r="E15" s="4"/>
      <c r="F15" s="4"/>
      <c r="G15" s="4"/>
      <c r="H15" s="4"/>
      <c r="I15" s="4"/>
      <c r="J15" s="4"/>
      <c r="K15" s="4"/>
      <c r="M15" s="2">
        <v>25</v>
      </c>
      <c r="N15" s="2" t="str">
        <f t="shared" si="0"/>
        <v>一般ゴミ／</v>
      </c>
      <c r="O15" s="2" t="str">
        <f t="shared" si="1"/>
        <v>一般ゴミ</v>
      </c>
      <c r="P15" s="15" t="str">
        <f t="shared" si="3"/>
        <v>一般ゴミ</v>
      </c>
    </row>
    <row r="16" spans="2:16">
      <c r="B16" s="8">
        <v>2</v>
      </c>
      <c r="C16" s="8" t="s">
        <v>22</v>
      </c>
      <c r="D16" s="4"/>
      <c r="E16" s="4"/>
      <c r="F16" s="4"/>
      <c r="G16" s="4">
        <v>1</v>
      </c>
      <c r="H16" s="4"/>
      <c r="I16" s="4"/>
      <c r="J16" s="4">
        <v>1</v>
      </c>
      <c r="K16" s="4"/>
      <c r="M16" s="2">
        <v>26</v>
      </c>
      <c r="N16" s="2" t="str">
        <f t="shared" si="0"/>
        <v>有害・危険ゴミ／プラスチック／</v>
      </c>
      <c r="O16" s="2" t="str">
        <f t="shared" si="1"/>
        <v>有害・危険ゴミ／プラスチック</v>
      </c>
      <c r="P16" s="15" t="str">
        <f t="shared" si="3"/>
        <v>有害・危険ゴミ
プラスチック</v>
      </c>
    </row>
    <row r="17" spans="2:16">
      <c r="B17" s="11">
        <v>2</v>
      </c>
      <c r="C17" s="11" t="s">
        <v>23</v>
      </c>
      <c r="D17" s="14"/>
      <c r="E17" s="14"/>
      <c r="F17" s="14"/>
      <c r="G17" s="14"/>
      <c r="H17" s="14"/>
      <c r="I17" s="14"/>
      <c r="J17" s="14"/>
      <c r="K17" s="14"/>
      <c r="M17" s="2">
        <v>27</v>
      </c>
      <c r="N17" s="2" t="str">
        <f t="shared" si="0"/>
        <v/>
      </c>
      <c r="O17" s="2" t="str">
        <f t="shared" si="1"/>
        <v/>
      </c>
      <c r="P17" s="15" t="str">
        <f t="shared" si="3"/>
        <v/>
      </c>
    </row>
    <row r="18" spans="2:16">
      <c r="B18" s="10">
        <v>3</v>
      </c>
      <c r="C18" s="10" t="s">
        <v>24</v>
      </c>
      <c r="D18" s="13"/>
      <c r="E18" s="13"/>
      <c r="F18" s="13"/>
      <c r="G18" s="13"/>
      <c r="H18" s="13"/>
      <c r="I18" s="13"/>
      <c r="J18" s="13"/>
      <c r="K18" s="13"/>
      <c r="M18" s="2">
        <v>31</v>
      </c>
      <c r="N18" s="2" t="str">
        <f t="shared" si="0"/>
        <v/>
      </c>
      <c r="O18" s="2" t="str">
        <f t="shared" si="1"/>
        <v/>
      </c>
      <c r="P18" s="15" t="str">
        <f t="shared" si="3"/>
        <v/>
      </c>
    </row>
    <row r="19" spans="2:16">
      <c r="B19" s="8">
        <v>3</v>
      </c>
      <c r="C19" s="8" t="s">
        <v>18</v>
      </c>
      <c r="D19" s="4">
        <v>1</v>
      </c>
      <c r="E19" s="4"/>
      <c r="F19" s="4"/>
      <c r="G19" s="4"/>
      <c r="H19" s="4"/>
      <c r="I19" s="4"/>
      <c r="J19" s="4"/>
      <c r="K19" s="4"/>
      <c r="M19" s="2">
        <v>32</v>
      </c>
      <c r="N19" s="2" t="str">
        <f t="shared" si="0"/>
        <v>一般ゴミ／</v>
      </c>
      <c r="O19" s="2" t="str">
        <f t="shared" si="1"/>
        <v>一般ゴミ</v>
      </c>
      <c r="P19" s="15" t="str">
        <f t="shared" si="3"/>
        <v>一般ゴミ</v>
      </c>
    </row>
    <row r="20" spans="2:16">
      <c r="B20" s="8">
        <v>3</v>
      </c>
      <c r="C20" s="8" t="s">
        <v>19</v>
      </c>
      <c r="D20" s="4"/>
      <c r="E20" s="4"/>
      <c r="F20" s="4"/>
      <c r="G20" s="4"/>
      <c r="H20" s="4">
        <v>1</v>
      </c>
      <c r="I20" s="4"/>
      <c r="J20" s="4"/>
      <c r="K20" s="4"/>
      <c r="M20" s="2">
        <v>33</v>
      </c>
      <c r="N20" s="2" t="str">
        <f t="shared" si="0"/>
        <v>ビン・カン類／</v>
      </c>
      <c r="O20" s="2" t="str">
        <f t="shared" si="1"/>
        <v>ビン・カン類</v>
      </c>
      <c r="P20" s="15" t="str">
        <f t="shared" si="3"/>
        <v>ビン・カン類</v>
      </c>
    </row>
    <row r="21" spans="2:16">
      <c r="B21" s="8">
        <v>3</v>
      </c>
      <c r="C21" s="8" t="s">
        <v>20</v>
      </c>
      <c r="D21" s="4"/>
      <c r="E21" s="4"/>
      <c r="F21" s="4">
        <v>1</v>
      </c>
      <c r="G21" s="4"/>
      <c r="H21" s="4"/>
      <c r="I21" s="4"/>
      <c r="J21" s="4"/>
      <c r="K21" s="4"/>
      <c r="M21" s="2">
        <v>34</v>
      </c>
      <c r="N21" s="2" t="str">
        <f t="shared" si="0"/>
        <v>粗大ゴミ／</v>
      </c>
      <c r="O21" s="2" t="str">
        <f t="shared" si="1"/>
        <v>粗大ゴミ</v>
      </c>
      <c r="P21" s="15" t="str">
        <f t="shared" si="3"/>
        <v>粗大ゴミ</v>
      </c>
    </row>
    <row r="22" spans="2:16">
      <c r="B22" s="8">
        <v>3</v>
      </c>
      <c r="C22" s="8" t="s">
        <v>21</v>
      </c>
      <c r="D22" s="4">
        <v>1</v>
      </c>
      <c r="E22" s="4"/>
      <c r="F22" s="4"/>
      <c r="G22" s="4"/>
      <c r="H22" s="4"/>
      <c r="I22" s="4"/>
      <c r="J22" s="4"/>
      <c r="K22" s="4"/>
      <c r="M22" s="2">
        <v>35</v>
      </c>
      <c r="N22" s="2" t="str">
        <f t="shared" si="0"/>
        <v>一般ゴミ／</v>
      </c>
      <c r="O22" s="2" t="str">
        <f t="shared" si="1"/>
        <v>一般ゴミ</v>
      </c>
      <c r="P22" s="15" t="str">
        <f t="shared" si="3"/>
        <v>一般ゴミ</v>
      </c>
    </row>
    <row r="23" spans="2:16">
      <c r="B23" s="8">
        <v>3</v>
      </c>
      <c r="C23" s="8" t="s">
        <v>22</v>
      </c>
      <c r="D23" s="4"/>
      <c r="E23" s="4"/>
      <c r="F23" s="4"/>
      <c r="G23" s="4"/>
      <c r="H23" s="4"/>
      <c r="I23" s="4">
        <v>1</v>
      </c>
      <c r="J23" s="4">
        <v>1</v>
      </c>
      <c r="K23" s="4"/>
      <c r="M23" s="2">
        <v>36</v>
      </c>
      <c r="N23" s="2" t="str">
        <f t="shared" si="0"/>
        <v>ペットボトル／プラスチック／</v>
      </c>
      <c r="O23" s="2" t="str">
        <f t="shared" si="1"/>
        <v>ペットボトル／プラスチック</v>
      </c>
      <c r="P23" s="15" t="str">
        <f t="shared" si="3"/>
        <v>ペットボトル
プラスチック</v>
      </c>
    </row>
    <row r="24" spans="2:16">
      <c r="B24" s="11">
        <v>3</v>
      </c>
      <c r="C24" s="11" t="s">
        <v>23</v>
      </c>
      <c r="D24" s="14"/>
      <c r="E24" s="14"/>
      <c r="F24" s="14"/>
      <c r="G24" s="14"/>
      <c r="H24" s="14"/>
      <c r="I24" s="14"/>
      <c r="J24" s="14"/>
      <c r="K24" s="14"/>
      <c r="M24" s="2">
        <v>37</v>
      </c>
      <c r="N24" s="2" t="str">
        <f t="shared" si="0"/>
        <v/>
      </c>
      <c r="O24" s="2" t="str">
        <f t="shared" si="1"/>
        <v/>
      </c>
      <c r="P24" s="15" t="str">
        <f t="shared" si="3"/>
        <v/>
      </c>
    </row>
    <row r="25" spans="2:16">
      <c r="B25" s="10">
        <v>4</v>
      </c>
      <c r="C25" s="10" t="s">
        <v>24</v>
      </c>
      <c r="D25" s="13"/>
      <c r="E25" s="13"/>
      <c r="F25" s="13"/>
      <c r="G25" s="13"/>
      <c r="H25" s="13"/>
      <c r="I25" s="13"/>
      <c r="J25" s="13"/>
      <c r="K25" s="13"/>
      <c r="M25" s="2">
        <v>41</v>
      </c>
      <c r="N25" s="2" t="str">
        <f t="shared" si="0"/>
        <v/>
      </c>
      <c r="O25" s="2" t="str">
        <f t="shared" si="1"/>
        <v/>
      </c>
      <c r="P25" s="15" t="str">
        <f t="shared" si="3"/>
        <v/>
      </c>
    </row>
    <row r="26" spans="2:16">
      <c r="B26" s="8">
        <v>4</v>
      </c>
      <c r="C26" s="8" t="s">
        <v>18</v>
      </c>
      <c r="D26" s="4">
        <v>1</v>
      </c>
      <c r="E26" s="4"/>
      <c r="F26" s="4"/>
      <c r="G26" s="4"/>
      <c r="H26" s="4"/>
      <c r="I26" s="4"/>
      <c r="J26" s="4"/>
      <c r="K26" s="4"/>
      <c r="M26" s="2">
        <v>42</v>
      </c>
      <c r="N26" s="2" t="str">
        <f t="shared" si="0"/>
        <v>一般ゴミ／</v>
      </c>
      <c r="O26" s="2" t="str">
        <f t="shared" si="1"/>
        <v>一般ゴミ</v>
      </c>
      <c r="P26" s="15" t="str">
        <f t="shared" si="3"/>
        <v>一般ゴミ</v>
      </c>
    </row>
    <row r="27" spans="2:16">
      <c r="B27" s="8">
        <v>4</v>
      </c>
      <c r="C27" s="8" t="s">
        <v>19</v>
      </c>
      <c r="D27" s="4"/>
      <c r="E27" s="4"/>
      <c r="F27" s="4"/>
      <c r="G27" s="4"/>
      <c r="H27" s="4"/>
      <c r="I27" s="4"/>
      <c r="J27" s="4"/>
      <c r="K27" s="4">
        <v>1</v>
      </c>
      <c r="M27" s="2">
        <v>43</v>
      </c>
      <c r="N27" s="2" t="str">
        <f t="shared" si="0"/>
        <v>紙布／</v>
      </c>
      <c r="O27" s="2" t="str">
        <f t="shared" si="1"/>
        <v>紙布</v>
      </c>
      <c r="P27" s="15" t="str">
        <f t="shared" si="3"/>
        <v>紙布</v>
      </c>
    </row>
    <row r="28" spans="2:16">
      <c r="B28" s="8">
        <v>4</v>
      </c>
      <c r="C28" s="8" t="s">
        <v>20</v>
      </c>
      <c r="D28" s="4"/>
      <c r="E28" s="4"/>
      <c r="F28" s="4"/>
      <c r="G28" s="4"/>
      <c r="H28" s="4"/>
      <c r="I28" s="4"/>
      <c r="J28" s="4"/>
      <c r="K28" s="4"/>
      <c r="M28" s="2">
        <v>44</v>
      </c>
      <c r="N28" s="2" t="str">
        <f t="shared" si="0"/>
        <v/>
      </c>
      <c r="O28" s="2" t="str">
        <f t="shared" si="1"/>
        <v/>
      </c>
      <c r="P28" s="15" t="str">
        <f t="shared" si="3"/>
        <v/>
      </c>
    </row>
    <row r="29" spans="2:16">
      <c r="B29" s="8">
        <v>4</v>
      </c>
      <c r="C29" s="8" t="s">
        <v>21</v>
      </c>
      <c r="D29" s="4">
        <v>1</v>
      </c>
      <c r="E29" s="4"/>
      <c r="F29" s="4"/>
      <c r="G29" s="4"/>
      <c r="H29" s="4"/>
      <c r="I29" s="4"/>
      <c r="J29" s="4"/>
      <c r="K29" s="4"/>
      <c r="M29" s="2">
        <v>45</v>
      </c>
      <c r="N29" s="2" t="str">
        <f t="shared" si="0"/>
        <v>一般ゴミ／</v>
      </c>
      <c r="O29" s="2" t="str">
        <f t="shared" si="1"/>
        <v>一般ゴミ</v>
      </c>
      <c r="P29" s="15" t="str">
        <f t="shared" si="3"/>
        <v>一般ゴミ</v>
      </c>
    </row>
    <row r="30" spans="2:16">
      <c r="B30" s="8">
        <v>4</v>
      </c>
      <c r="C30" s="8" t="s">
        <v>22</v>
      </c>
      <c r="D30" s="4"/>
      <c r="E30" s="4"/>
      <c r="F30" s="4"/>
      <c r="G30" s="4">
        <v>1</v>
      </c>
      <c r="H30" s="4"/>
      <c r="I30" s="4"/>
      <c r="J30" s="4">
        <v>1</v>
      </c>
      <c r="K30" s="4"/>
      <c r="M30" s="2">
        <v>46</v>
      </c>
      <c r="N30" s="2" t="str">
        <f t="shared" si="0"/>
        <v>有害・危険ゴミ／プラスチック／</v>
      </c>
      <c r="O30" s="2" t="str">
        <f t="shared" si="1"/>
        <v>有害・危険ゴミ／プラスチック</v>
      </c>
      <c r="P30" s="15" t="str">
        <f t="shared" si="3"/>
        <v>有害・危険ゴミ
プラスチック</v>
      </c>
    </row>
    <row r="31" spans="2:16">
      <c r="B31" s="11">
        <v>4</v>
      </c>
      <c r="C31" s="11" t="s">
        <v>23</v>
      </c>
      <c r="D31" s="14"/>
      <c r="E31" s="14"/>
      <c r="F31" s="14"/>
      <c r="G31" s="14"/>
      <c r="H31" s="14"/>
      <c r="I31" s="14"/>
      <c r="J31" s="14"/>
      <c r="K31" s="14"/>
      <c r="M31" s="2">
        <v>47</v>
      </c>
      <c r="N31" s="2" t="str">
        <f t="shared" si="0"/>
        <v/>
      </c>
      <c r="O31" s="2" t="str">
        <f t="shared" si="1"/>
        <v/>
      </c>
      <c r="P31" s="15" t="str">
        <f t="shared" si="3"/>
        <v/>
      </c>
    </row>
    <row r="32" spans="2:16">
      <c r="B32" s="10">
        <v>5</v>
      </c>
      <c r="C32" s="10" t="s">
        <v>24</v>
      </c>
      <c r="D32" s="13"/>
      <c r="E32" s="13"/>
      <c r="F32" s="13"/>
      <c r="G32" s="13"/>
      <c r="H32" s="13"/>
      <c r="I32" s="13"/>
      <c r="J32" s="13"/>
      <c r="K32" s="13"/>
      <c r="M32" s="2">
        <v>51</v>
      </c>
      <c r="N32" s="2" t="str">
        <f t="shared" si="0"/>
        <v/>
      </c>
      <c r="O32" s="2" t="str">
        <f t="shared" si="1"/>
        <v/>
      </c>
      <c r="P32" s="15" t="str">
        <f t="shared" si="3"/>
        <v/>
      </c>
    </row>
    <row r="33" spans="1:16">
      <c r="B33" s="8">
        <v>5</v>
      </c>
      <c r="C33" s="8" t="s">
        <v>18</v>
      </c>
      <c r="D33" s="4">
        <v>1</v>
      </c>
      <c r="E33" s="4"/>
      <c r="F33" s="4"/>
      <c r="G33" s="4"/>
      <c r="H33" s="4"/>
      <c r="I33" s="4"/>
      <c r="J33" s="4"/>
      <c r="K33" s="4"/>
      <c r="M33" s="2">
        <v>52</v>
      </c>
      <c r="N33" s="2" t="str">
        <f t="shared" si="0"/>
        <v>一般ゴミ／</v>
      </c>
      <c r="O33" s="2" t="str">
        <f t="shared" si="1"/>
        <v>一般ゴミ</v>
      </c>
      <c r="P33" s="15" t="str">
        <f t="shared" si="3"/>
        <v>一般ゴミ</v>
      </c>
    </row>
    <row r="34" spans="1:16">
      <c r="B34" s="8">
        <v>5</v>
      </c>
      <c r="C34" s="8" t="s">
        <v>19</v>
      </c>
      <c r="D34" s="4"/>
      <c r="E34" s="4"/>
      <c r="F34" s="4"/>
      <c r="G34" s="4"/>
      <c r="H34" s="4"/>
      <c r="I34" s="4"/>
      <c r="J34" s="4"/>
      <c r="K34" s="4"/>
      <c r="M34" s="2">
        <v>53</v>
      </c>
      <c r="N34" s="2" t="str">
        <f t="shared" si="0"/>
        <v/>
      </c>
      <c r="O34" s="2" t="str">
        <f t="shared" si="1"/>
        <v/>
      </c>
      <c r="P34" s="15" t="str">
        <f t="shared" si="3"/>
        <v/>
      </c>
    </row>
    <row r="35" spans="1:16">
      <c r="B35" s="8">
        <v>5</v>
      </c>
      <c r="C35" s="8" t="s">
        <v>20</v>
      </c>
      <c r="D35" s="4"/>
      <c r="E35" s="4"/>
      <c r="F35" s="4"/>
      <c r="G35" s="4"/>
      <c r="H35" s="4"/>
      <c r="I35" s="4"/>
      <c r="J35" s="4"/>
      <c r="K35" s="4"/>
      <c r="M35" s="2">
        <v>54</v>
      </c>
      <c r="N35" s="2" t="str">
        <f t="shared" si="0"/>
        <v/>
      </c>
      <c r="O35" s="2" t="str">
        <f t="shared" si="1"/>
        <v/>
      </c>
      <c r="P35" s="15" t="str">
        <f t="shared" si="3"/>
        <v/>
      </c>
    </row>
    <row r="36" spans="1:16">
      <c r="B36" s="8">
        <v>5</v>
      </c>
      <c r="C36" s="8" t="s">
        <v>21</v>
      </c>
      <c r="D36" s="4">
        <v>1</v>
      </c>
      <c r="E36" s="4"/>
      <c r="F36" s="4"/>
      <c r="G36" s="4"/>
      <c r="H36" s="4"/>
      <c r="I36" s="4"/>
      <c r="J36" s="4"/>
      <c r="K36" s="4"/>
      <c r="M36" s="2">
        <v>55</v>
      </c>
      <c r="N36" s="2" t="str">
        <f t="shared" si="0"/>
        <v>一般ゴミ／</v>
      </c>
      <c r="O36" s="2" t="str">
        <f t="shared" si="1"/>
        <v>一般ゴミ</v>
      </c>
      <c r="P36" s="15" t="str">
        <f t="shared" si="3"/>
        <v>一般ゴミ</v>
      </c>
    </row>
    <row r="37" spans="1:16">
      <c r="B37" s="8">
        <v>5</v>
      </c>
      <c r="C37" s="8" t="s">
        <v>22</v>
      </c>
      <c r="D37" s="4"/>
      <c r="E37" s="4"/>
      <c r="F37" s="4"/>
      <c r="G37" s="4"/>
      <c r="H37" s="4"/>
      <c r="I37" s="4"/>
      <c r="J37" s="4">
        <v>1</v>
      </c>
      <c r="K37" s="4"/>
      <c r="M37" s="2">
        <v>56</v>
      </c>
      <c r="N37" s="2" t="str">
        <f t="shared" si="0"/>
        <v>プラスチック／</v>
      </c>
      <c r="O37" s="2" t="str">
        <f t="shared" si="1"/>
        <v>プラスチック</v>
      </c>
      <c r="P37" s="15" t="str">
        <f t="shared" si="3"/>
        <v>プラスチック</v>
      </c>
    </row>
    <row r="38" spans="1:16">
      <c r="B38" s="11">
        <v>5</v>
      </c>
      <c r="C38" s="11" t="s">
        <v>23</v>
      </c>
      <c r="D38" s="14"/>
      <c r="E38" s="14"/>
      <c r="F38" s="14"/>
      <c r="G38" s="14"/>
      <c r="H38" s="14"/>
      <c r="I38" s="14"/>
      <c r="J38" s="14"/>
      <c r="K38" s="14"/>
      <c r="M38" s="2">
        <v>57</v>
      </c>
      <c r="N38" s="2" t="str">
        <f t="shared" si="0"/>
        <v/>
      </c>
      <c r="O38" s="2" t="str">
        <f t="shared" si="1"/>
        <v/>
      </c>
      <c r="P38" s="15" t="str">
        <f t="shared" si="3"/>
        <v/>
      </c>
    </row>
    <row r="39" spans="1:16" s="1" customFormat="1">
      <c r="A39" s="85"/>
      <c r="B39" s="86"/>
      <c r="C39" s="86"/>
      <c r="D39" s="87"/>
      <c r="E39" s="87"/>
      <c r="F39" s="87"/>
      <c r="G39" s="87"/>
      <c r="H39" s="87"/>
      <c r="I39" s="87"/>
      <c r="J39" s="87"/>
      <c r="K39" s="87"/>
      <c r="M39" s="6"/>
      <c r="N39" s="6"/>
      <c r="O39" s="6"/>
      <c r="P39" s="83"/>
    </row>
    <row r="40" spans="1:16" s="1" customFormat="1">
      <c r="A40" s="85"/>
      <c r="B40" s="86"/>
      <c r="C40" s="86"/>
      <c r="D40" s="87"/>
      <c r="E40" s="87"/>
      <c r="F40" s="87"/>
      <c r="G40" s="87"/>
      <c r="H40" s="87"/>
      <c r="I40" s="87"/>
      <c r="J40" s="87"/>
      <c r="K40" s="87"/>
      <c r="M40" s="6"/>
      <c r="N40" s="6"/>
      <c r="O40" s="6"/>
      <c r="P40" s="83"/>
    </row>
    <row r="43" spans="1:16" s="1" customFormat="1"/>
    <row r="44" spans="1:16" s="1" customFormat="1"/>
    <row r="45" spans="1:16" s="1" customFormat="1"/>
    <row r="46" spans="1:16" s="1" customFormat="1"/>
    <row r="47" spans="1:16" s="1" customFormat="1"/>
    <row r="48" spans="1:16" s="1" customFormat="1"/>
    <row r="49" spans="12:13" s="1" customFormat="1"/>
    <row r="50" spans="12:13">
      <c r="L50" s="84"/>
      <c r="M50" s="84"/>
    </row>
  </sheetData>
  <sheetProtection sheet="1" objects="1" scenarios="1"/>
  <phoneticPr fontId="1"/>
  <dataValidations count="1">
    <dataValidation type="whole" allowBlank="1" showInputMessage="1" showErrorMessage="1" sqref="D4:K38">
      <formula1>0</formula1>
      <formula2>1</formula2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workbookViewId="0">
      <selection activeCell="B12" sqref="B12"/>
    </sheetView>
  </sheetViews>
  <sheetFormatPr defaultColWidth="11.875" defaultRowHeight="13.5"/>
  <cols>
    <col min="1" max="1" width="1" customWidth="1"/>
    <col min="3" max="3" width="5.75" bestFit="1" customWidth="1"/>
    <col min="12" max="12" width="4" hidden="1" customWidth="1"/>
    <col min="13" max="15" width="27.5" hidden="1" customWidth="1"/>
  </cols>
  <sheetData>
    <row r="1" spans="2:15" ht="25.5">
      <c r="B1" s="81" t="s">
        <v>158</v>
      </c>
      <c r="C1" s="9"/>
    </row>
    <row r="2" spans="2:15" s="91" customFormat="1">
      <c r="B2" s="89"/>
      <c r="C2" s="90"/>
    </row>
    <row r="3" spans="2:15" ht="17.25">
      <c r="B3" s="88" t="s">
        <v>151</v>
      </c>
      <c r="C3" s="9"/>
      <c r="D3" s="1"/>
      <c r="E3" s="1"/>
      <c r="F3" s="1"/>
      <c r="G3" s="1"/>
      <c r="H3" s="1"/>
      <c r="I3" s="1"/>
      <c r="J3" s="1"/>
      <c r="K3" s="1"/>
    </row>
    <row r="4" spans="2:15" s="91" customFormat="1">
      <c r="B4" s="89"/>
      <c r="C4" s="90"/>
    </row>
    <row r="5" spans="2:15">
      <c r="B5" s="20" t="s">
        <v>154</v>
      </c>
      <c r="C5" s="9"/>
      <c r="D5" s="1"/>
      <c r="E5" s="1"/>
      <c r="F5" s="1"/>
      <c r="G5" s="1"/>
      <c r="H5" s="1"/>
      <c r="I5" s="1"/>
      <c r="J5" s="1"/>
      <c r="K5" s="1"/>
    </row>
    <row r="6" spans="2:15">
      <c r="B6" s="20" t="s">
        <v>155</v>
      </c>
      <c r="C6" s="9"/>
      <c r="D6" s="1"/>
      <c r="E6" s="1"/>
      <c r="F6" s="1"/>
      <c r="G6" s="1"/>
      <c r="H6" s="1"/>
      <c r="I6" s="1"/>
      <c r="J6" s="1"/>
      <c r="K6" s="1"/>
    </row>
    <row r="7" spans="2:15">
      <c r="B7" s="20" t="s">
        <v>156</v>
      </c>
      <c r="C7" s="9"/>
      <c r="D7" s="1"/>
      <c r="E7" s="1"/>
      <c r="F7" s="1"/>
      <c r="G7" s="1"/>
      <c r="H7" s="1"/>
      <c r="I7" s="1"/>
      <c r="J7" s="1"/>
      <c r="K7" s="1"/>
    </row>
    <row r="8" spans="2:15">
      <c r="B8" s="20" t="s">
        <v>157</v>
      </c>
      <c r="C8" s="9"/>
      <c r="D8" s="1"/>
      <c r="E8" s="1"/>
      <c r="F8" s="1"/>
      <c r="G8" s="1"/>
      <c r="H8" s="1"/>
      <c r="I8" s="1"/>
      <c r="J8" s="1"/>
      <c r="K8" s="1"/>
    </row>
    <row r="9" spans="2:15">
      <c r="B9" s="20" t="s">
        <v>150</v>
      </c>
      <c r="C9" s="9"/>
      <c r="D9" s="1"/>
      <c r="E9" s="1"/>
      <c r="F9" s="1"/>
      <c r="G9" s="1"/>
      <c r="H9" s="1"/>
      <c r="I9" s="1"/>
      <c r="J9" s="1"/>
      <c r="K9" s="1"/>
    </row>
    <row r="10" spans="2:15">
      <c r="B10" s="20"/>
      <c r="C10" s="9"/>
      <c r="D10" s="1"/>
      <c r="E10" s="1"/>
      <c r="F10" s="1"/>
      <c r="G10" s="1"/>
      <c r="H10" s="1"/>
      <c r="I10" s="1"/>
      <c r="J10" s="1"/>
      <c r="K10" s="1"/>
    </row>
    <row r="11" spans="2:15">
      <c r="B11" s="92" t="s">
        <v>146</v>
      </c>
      <c r="C11" s="92" t="str">
        <f>ゴミの日!C3</f>
        <v>曜日</v>
      </c>
      <c r="D11" s="92" t="str">
        <f>ゴミの日!D3</f>
        <v>一般ゴミ</v>
      </c>
      <c r="E11" s="92" t="str">
        <f>ゴミの日!E3</f>
        <v>金属ゴミ</v>
      </c>
      <c r="F11" s="92" t="str">
        <f>ゴミの日!F3</f>
        <v>粗大ゴミ</v>
      </c>
      <c r="G11" s="93" t="str">
        <f>ゴミの日!G3</f>
        <v>有害・危険ゴミ</v>
      </c>
      <c r="H11" s="92" t="str">
        <f>ゴミの日!H3</f>
        <v>ビン・カン類</v>
      </c>
      <c r="I11" s="92" t="str">
        <f>ゴミの日!I3</f>
        <v>ペットボトル</v>
      </c>
      <c r="J11" s="92" t="str">
        <f>ゴミの日!J3</f>
        <v>プラスチック</v>
      </c>
      <c r="K11" s="92" t="str">
        <f>ゴミの日!K3</f>
        <v>紙布</v>
      </c>
      <c r="M11" s="7" t="str">
        <f>ゴミの日!N3</f>
        <v>文字結合／</v>
      </c>
      <c r="N11" s="7" t="str">
        <f>ゴミの日!O3</f>
        <v>帯タイプ</v>
      </c>
      <c r="O11" s="7" t="str">
        <f>ゴミの日!P3</f>
        <v>箱タイプ</v>
      </c>
    </row>
    <row r="12" spans="2:15">
      <c r="B12" s="82"/>
      <c r="C12" s="18" t="str">
        <f>IF(B12="","",WEEKDAY(B12))</f>
        <v/>
      </c>
      <c r="D12" s="4"/>
      <c r="E12" s="4"/>
      <c r="F12" s="4"/>
      <c r="G12" s="4"/>
      <c r="H12" s="4"/>
      <c r="I12" s="4"/>
      <c r="J12" s="4"/>
      <c r="K12" s="4"/>
      <c r="M12" s="2" t="str">
        <f>IF('ゴミの日（特別）'!D12=1,ゴミの日!$D$3&amp;"／","")&amp;IF('ゴミの日（特別）'!E12=1,ゴミの日!$E$3&amp;"／","")&amp;IF('ゴミの日（特別）'!F12=1,ゴミの日!$F$3&amp;"／","")&amp;IF('ゴミの日（特別）'!G12=1,ゴミの日!$G$3&amp;"／","")&amp;IF('ゴミの日（特別）'!H12=1,ゴミの日!$H$3&amp;"／","")&amp;IF('ゴミの日（特別）'!I12=1,ゴミの日!$I$3&amp;"／","")&amp;IF('ゴミの日（特別）'!J12=1,ゴミの日!$J$3&amp;"／","")&amp;IF('ゴミの日（特別）'!K12=1,ゴミの日!$K$3&amp;"／","")</f>
        <v/>
      </c>
      <c r="N12" s="2" t="str">
        <f t="shared" ref="N12:N25" si="0">IF(M12="","",LEFT(M12,LEN(M12)-1))</f>
        <v/>
      </c>
      <c r="O12" s="15" t="str">
        <f t="shared" ref="O12:O25" si="1">SUBSTITUTE(N12,"／",CHAR(10))</f>
        <v/>
      </c>
    </row>
    <row r="13" spans="2:15">
      <c r="B13" s="82"/>
      <c r="C13" s="18" t="str">
        <f t="shared" ref="C13:C25" si="2">IF(B13="","",WEEKDAY(B13))</f>
        <v/>
      </c>
      <c r="D13" s="4"/>
      <c r="E13" s="4"/>
      <c r="F13" s="4"/>
      <c r="G13" s="4"/>
      <c r="H13" s="4"/>
      <c r="I13" s="4"/>
      <c r="J13" s="4"/>
      <c r="K13" s="4"/>
      <c r="M13" s="2" t="str">
        <f>IF('ゴミの日（特別）'!D13=1,ゴミの日!$D$3&amp;"／","")&amp;IF('ゴミの日（特別）'!E13=1,ゴミの日!$E$3&amp;"／","")&amp;IF('ゴミの日（特別）'!F13=1,ゴミの日!$F$3&amp;"／","")&amp;IF('ゴミの日（特別）'!G13=1,ゴミの日!$G$3&amp;"／","")&amp;IF('ゴミの日（特別）'!H13=1,ゴミの日!$H$3&amp;"／","")&amp;IF('ゴミの日（特別）'!I13=1,ゴミの日!$I$3&amp;"／","")&amp;IF('ゴミの日（特別）'!J13=1,ゴミの日!$J$3&amp;"／","")&amp;IF('ゴミの日（特別）'!K13=1,ゴミの日!$K$3&amp;"／","")</f>
        <v/>
      </c>
      <c r="N13" s="2" t="str">
        <f t="shared" si="0"/>
        <v/>
      </c>
      <c r="O13" s="15" t="str">
        <f t="shared" si="1"/>
        <v/>
      </c>
    </row>
    <row r="14" spans="2:15">
      <c r="B14" s="82"/>
      <c r="C14" s="18" t="str">
        <f t="shared" si="2"/>
        <v/>
      </c>
      <c r="D14" s="4"/>
      <c r="E14" s="4"/>
      <c r="F14" s="4"/>
      <c r="G14" s="4"/>
      <c r="H14" s="4"/>
      <c r="I14" s="4"/>
      <c r="J14" s="4"/>
      <c r="K14" s="4"/>
      <c r="M14" s="2" t="str">
        <f>IF('ゴミの日（特別）'!D14=1,ゴミの日!$D$3&amp;"／","")&amp;IF('ゴミの日（特別）'!E14=1,ゴミの日!$E$3&amp;"／","")&amp;IF('ゴミの日（特別）'!F14=1,ゴミの日!$F$3&amp;"／","")&amp;IF('ゴミの日（特別）'!G14=1,ゴミの日!$G$3&amp;"／","")&amp;IF('ゴミの日（特別）'!H14=1,ゴミの日!$H$3&amp;"／","")&amp;IF('ゴミの日（特別）'!I14=1,ゴミの日!$I$3&amp;"／","")&amp;IF('ゴミの日（特別）'!J14=1,ゴミの日!$J$3&amp;"／","")&amp;IF('ゴミの日（特別）'!K14=1,ゴミの日!$K$3&amp;"／","")</f>
        <v/>
      </c>
      <c r="N14" s="2" t="str">
        <f t="shared" si="0"/>
        <v/>
      </c>
      <c r="O14" s="15" t="str">
        <f t="shared" si="1"/>
        <v/>
      </c>
    </row>
    <row r="15" spans="2:15">
      <c r="B15" s="82"/>
      <c r="C15" s="18" t="str">
        <f t="shared" si="2"/>
        <v/>
      </c>
      <c r="D15" s="4"/>
      <c r="E15" s="4"/>
      <c r="F15" s="4"/>
      <c r="G15" s="4"/>
      <c r="H15" s="4"/>
      <c r="I15" s="4"/>
      <c r="J15" s="4"/>
      <c r="K15" s="4"/>
      <c r="M15" s="2" t="str">
        <f>IF('ゴミの日（特別）'!D15=1,ゴミの日!$D$3&amp;"／","")&amp;IF('ゴミの日（特別）'!E15=1,ゴミの日!$E$3&amp;"／","")&amp;IF('ゴミの日（特別）'!F15=1,ゴミの日!$F$3&amp;"／","")&amp;IF('ゴミの日（特別）'!G15=1,ゴミの日!$G$3&amp;"／","")&amp;IF('ゴミの日（特別）'!H15=1,ゴミの日!$H$3&amp;"／","")&amp;IF('ゴミの日（特別）'!I15=1,ゴミの日!$I$3&amp;"／","")&amp;IF('ゴミの日（特別）'!J15=1,ゴミの日!$J$3&amp;"／","")&amp;IF('ゴミの日（特別）'!K15=1,ゴミの日!$K$3&amp;"／","")</f>
        <v/>
      </c>
      <c r="N15" s="2" t="str">
        <f t="shared" si="0"/>
        <v/>
      </c>
      <c r="O15" s="15" t="str">
        <f t="shared" si="1"/>
        <v/>
      </c>
    </row>
    <row r="16" spans="2:15">
      <c r="B16" s="82"/>
      <c r="C16" s="18" t="str">
        <f t="shared" si="2"/>
        <v/>
      </c>
      <c r="D16" s="4"/>
      <c r="E16" s="4"/>
      <c r="F16" s="4"/>
      <c r="G16" s="4"/>
      <c r="H16" s="4"/>
      <c r="I16" s="4"/>
      <c r="J16" s="4"/>
      <c r="K16" s="4"/>
      <c r="M16" s="2" t="str">
        <f>IF('ゴミの日（特別）'!D16=1,ゴミの日!$D$3&amp;"／","")&amp;IF('ゴミの日（特別）'!E16=1,ゴミの日!$E$3&amp;"／","")&amp;IF('ゴミの日（特別）'!F16=1,ゴミの日!$F$3&amp;"／","")&amp;IF('ゴミの日（特別）'!G16=1,ゴミの日!$G$3&amp;"／","")&amp;IF('ゴミの日（特別）'!H16=1,ゴミの日!$H$3&amp;"／","")&amp;IF('ゴミの日（特別）'!I16=1,ゴミの日!$I$3&amp;"／","")&amp;IF('ゴミの日（特別）'!J16=1,ゴミの日!$J$3&amp;"／","")&amp;IF('ゴミの日（特別）'!K16=1,ゴミの日!$K$3&amp;"／","")</f>
        <v/>
      </c>
      <c r="N16" s="2" t="str">
        <f t="shared" si="0"/>
        <v/>
      </c>
      <c r="O16" s="15" t="str">
        <f t="shared" si="1"/>
        <v/>
      </c>
    </row>
    <row r="17" spans="2:15">
      <c r="B17" s="82"/>
      <c r="C17" s="18" t="str">
        <f t="shared" si="2"/>
        <v/>
      </c>
      <c r="D17" s="4"/>
      <c r="E17" s="4"/>
      <c r="F17" s="4"/>
      <c r="G17" s="4"/>
      <c r="H17" s="4"/>
      <c r="I17" s="4"/>
      <c r="J17" s="4"/>
      <c r="K17" s="4"/>
      <c r="M17" s="2" t="str">
        <f>IF('ゴミの日（特別）'!D17=1,ゴミの日!$D$3&amp;"／","")&amp;IF('ゴミの日（特別）'!E17=1,ゴミの日!$E$3&amp;"／","")&amp;IF('ゴミの日（特別）'!F17=1,ゴミの日!$F$3&amp;"／","")&amp;IF('ゴミの日（特別）'!G17=1,ゴミの日!$G$3&amp;"／","")&amp;IF('ゴミの日（特別）'!H17=1,ゴミの日!$H$3&amp;"／","")&amp;IF('ゴミの日（特別）'!I17=1,ゴミの日!$I$3&amp;"／","")&amp;IF('ゴミの日（特別）'!J17=1,ゴミの日!$J$3&amp;"／","")&amp;IF('ゴミの日（特別）'!K17=1,ゴミの日!$K$3&amp;"／","")</f>
        <v/>
      </c>
      <c r="N17" s="2" t="str">
        <f t="shared" si="0"/>
        <v/>
      </c>
      <c r="O17" s="15" t="str">
        <f t="shared" si="1"/>
        <v/>
      </c>
    </row>
    <row r="18" spans="2:15">
      <c r="B18" s="82"/>
      <c r="C18" s="18" t="str">
        <f t="shared" si="2"/>
        <v/>
      </c>
      <c r="D18" s="4"/>
      <c r="E18" s="4"/>
      <c r="F18" s="4"/>
      <c r="G18" s="4"/>
      <c r="H18" s="4"/>
      <c r="I18" s="4"/>
      <c r="J18" s="4"/>
      <c r="K18" s="4"/>
      <c r="M18" s="2" t="str">
        <f>IF('ゴミの日（特別）'!D18=1,ゴミの日!$D$3&amp;"／","")&amp;IF('ゴミの日（特別）'!E18=1,ゴミの日!$E$3&amp;"／","")&amp;IF('ゴミの日（特別）'!F18=1,ゴミの日!$F$3&amp;"／","")&amp;IF('ゴミの日（特別）'!G18=1,ゴミの日!$G$3&amp;"／","")&amp;IF('ゴミの日（特別）'!H18=1,ゴミの日!$H$3&amp;"／","")&amp;IF('ゴミの日（特別）'!I18=1,ゴミの日!$I$3&amp;"／","")&amp;IF('ゴミの日（特別）'!J18=1,ゴミの日!$J$3&amp;"／","")&amp;IF('ゴミの日（特別）'!K18=1,ゴミの日!$K$3&amp;"／","")</f>
        <v/>
      </c>
      <c r="N18" s="2" t="str">
        <f t="shared" si="0"/>
        <v/>
      </c>
      <c r="O18" s="15" t="str">
        <f t="shared" si="1"/>
        <v/>
      </c>
    </row>
    <row r="19" spans="2:15">
      <c r="B19" s="82"/>
      <c r="C19" s="18" t="str">
        <f t="shared" si="2"/>
        <v/>
      </c>
      <c r="D19" s="4"/>
      <c r="E19" s="4"/>
      <c r="F19" s="4"/>
      <c r="G19" s="4"/>
      <c r="H19" s="4"/>
      <c r="I19" s="4"/>
      <c r="J19" s="4"/>
      <c r="K19" s="4"/>
      <c r="M19" s="2" t="str">
        <f>IF('ゴミの日（特別）'!D19=1,ゴミの日!$D$3&amp;"／","")&amp;IF('ゴミの日（特別）'!E19=1,ゴミの日!$E$3&amp;"／","")&amp;IF('ゴミの日（特別）'!F19=1,ゴミの日!$F$3&amp;"／","")&amp;IF('ゴミの日（特別）'!G19=1,ゴミの日!$G$3&amp;"／","")&amp;IF('ゴミの日（特別）'!H19=1,ゴミの日!$H$3&amp;"／","")&amp;IF('ゴミの日（特別）'!I19=1,ゴミの日!$I$3&amp;"／","")&amp;IF('ゴミの日（特別）'!J19=1,ゴミの日!$J$3&amp;"／","")&amp;IF('ゴミの日（特別）'!K19=1,ゴミの日!$K$3&amp;"／","")</f>
        <v/>
      </c>
      <c r="N19" s="2" t="str">
        <f t="shared" si="0"/>
        <v/>
      </c>
      <c r="O19" s="15" t="str">
        <f t="shared" si="1"/>
        <v/>
      </c>
    </row>
    <row r="20" spans="2:15">
      <c r="B20" s="82"/>
      <c r="C20" s="18" t="str">
        <f t="shared" si="2"/>
        <v/>
      </c>
      <c r="D20" s="4"/>
      <c r="E20" s="4"/>
      <c r="F20" s="4"/>
      <c r="G20" s="4"/>
      <c r="H20" s="4"/>
      <c r="I20" s="4"/>
      <c r="J20" s="4"/>
      <c r="K20" s="4"/>
      <c r="M20" s="2" t="str">
        <f>IF('ゴミの日（特別）'!D20=1,ゴミの日!$D$3&amp;"／","")&amp;IF('ゴミの日（特別）'!E20=1,ゴミの日!$E$3&amp;"／","")&amp;IF('ゴミの日（特別）'!F20=1,ゴミの日!$F$3&amp;"／","")&amp;IF('ゴミの日（特別）'!G20=1,ゴミの日!$G$3&amp;"／","")&amp;IF('ゴミの日（特別）'!H20=1,ゴミの日!$H$3&amp;"／","")&amp;IF('ゴミの日（特別）'!I20=1,ゴミの日!$I$3&amp;"／","")&amp;IF('ゴミの日（特別）'!J20=1,ゴミの日!$J$3&amp;"／","")&amp;IF('ゴミの日（特別）'!K20=1,ゴミの日!$K$3&amp;"／","")</f>
        <v/>
      </c>
      <c r="N20" s="2" t="str">
        <f t="shared" si="0"/>
        <v/>
      </c>
      <c r="O20" s="15" t="str">
        <f t="shared" si="1"/>
        <v/>
      </c>
    </row>
    <row r="21" spans="2:15">
      <c r="B21" s="82"/>
      <c r="C21" s="18" t="str">
        <f t="shared" si="2"/>
        <v/>
      </c>
      <c r="D21" s="4"/>
      <c r="E21" s="4"/>
      <c r="F21" s="4"/>
      <c r="G21" s="4"/>
      <c r="H21" s="4"/>
      <c r="I21" s="4"/>
      <c r="J21" s="4"/>
      <c r="K21" s="4"/>
      <c r="M21" s="2" t="str">
        <f>IF('ゴミの日（特別）'!D21=1,ゴミの日!$D$3&amp;"／","")&amp;IF('ゴミの日（特別）'!E21=1,ゴミの日!$E$3&amp;"／","")&amp;IF('ゴミの日（特別）'!F21=1,ゴミの日!$F$3&amp;"／","")&amp;IF('ゴミの日（特別）'!G21=1,ゴミの日!$G$3&amp;"／","")&amp;IF('ゴミの日（特別）'!H21=1,ゴミの日!$H$3&amp;"／","")&amp;IF('ゴミの日（特別）'!I21=1,ゴミの日!$I$3&amp;"／","")&amp;IF('ゴミの日（特別）'!J21=1,ゴミの日!$J$3&amp;"／","")&amp;IF('ゴミの日（特別）'!K21=1,ゴミの日!$K$3&amp;"／","")</f>
        <v/>
      </c>
      <c r="N21" s="2" t="str">
        <f t="shared" si="0"/>
        <v/>
      </c>
      <c r="O21" s="15" t="str">
        <f t="shared" si="1"/>
        <v/>
      </c>
    </row>
    <row r="22" spans="2:15">
      <c r="B22" s="82"/>
      <c r="C22" s="18" t="str">
        <f t="shared" si="2"/>
        <v/>
      </c>
      <c r="D22" s="4"/>
      <c r="E22" s="4"/>
      <c r="F22" s="4"/>
      <c r="G22" s="4"/>
      <c r="H22" s="4"/>
      <c r="I22" s="4"/>
      <c r="J22" s="4"/>
      <c r="K22" s="4"/>
      <c r="M22" s="2" t="str">
        <f>IF('ゴミの日（特別）'!D22=1,ゴミの日!$D$3&amp;"／","")&amp;IF('ゴミの日（特別）'!E22=1,ゴミの日!$E$3&amp;"／","")&amp;IF('ゴミの日（特別）'!F22=1,ゴミの日!$F$3&amp;"／","")&amp;IF('ゴミの日（特別）'!G22=1,ゴミの日!$G$3&amp;"／","")&amp;IF('ゴミの日（特別）'!H22=1,ゴミの日!$H$3&amp;"／","")&amp;IF('ゴミの日（特別）'!I22=1,ゴミの日!$I$3&amp;"／","")&amp;IF('ゴミの日（特別）'!J22=1,ゴミの日!$J$3&amp;"／","")&amp;IF('ゴミの日（特別）'!K22=1,ゴミの日!$K$3&amp;"／","")</f>
        <v/>
      </c>
      <c r="N22" s="2" t="str">
        <f t="shared" si="0"/>
        <v/>
      </c>
      <c r="O22" s="15" t="str">
        <f t="shared" si="1"/>
        <v/>
      </c>
    </row>
    <row r="23" spans="2:15">
      <c r="B23" s="82"/>
      <c r="C23" s="18" t="str">
        <f t="shared" si="2"/>
        <v/>
      </c>
      <c r="D23" s="4"/>
      <c r="E23" s="4"/>
      <c r="F23" s="4"/>
      <c r="G23" s="4"/>
      <c r="H23" s="4"/>
      <c r="I23" s="4"/>
      <c r="J23" s="4"/>
      <c r="K23" s="4"/>
      <c r="M23" s="2" t="str">
        <f>IF('ゴミの日（特別）'!D23=1,ゴミの日!$D$3&amp;"／","")&amp;IF('ゴミの日（特別）'!E23=1,ゴミの日!$E$3&amp;"／","")&amp;IF('ゴミの日（特別）'!F23=1,ゴミの日!$F$3&amp;"／","")&amp;IF('ゴミの日（特別）'!G23=1,ゴミの日!$G$3&amp;"／","")&amp;IF('ゴミの日（特別）'!H23=1,ゴミの日!$H$3&amp;"／","")&amp;IF('ゴミの日（特別）'!I23=1,ゴミの日!$I$3&amp;"／","")&amp;IF('ゴミの日（特別）'!J23=1,ゴミの日!$J$3&amp;"／","")&amp;IF('ゴミの日（特別）'!K23=1,ゴミの日!$K$3&amp;"／","")</f>
        <v/>
      </c>
      <c r="N23" s="2" t="str">
        <f t="shared" si="0"/>
        <v/>
      </c>
      <c r="O23" s="15" t="str">
        <f t="shared" si="1"/>
        <v/>
      </c>
    </row>
    <row r="24" spans="2:15">
      <c r="B24" s="82"/>
      <c r="C24" s="18" t="str">
        <f t="shared" si="2"/>
        <v/>
      </c>
      <c r="D24" s="4"/>
      <c r="E24" s="4"/>
      <c r="F24" s="4"/>
      <c r="G24" s="4"/>
      <c r="H24" s="4"/>
      <c r="I24" s="4"/>
      <c r="J24" s="4"/>
      <c r="K24" s="4"/>
      <c r="M24" s="2" t="str">
        <f>IF('ゴミの日（特別）'!D24=1,ゴミの日!$D$3&amp;"／","")&amp;IF('ゴミの日（特別）'!E24=1,ゴミの日!$E$3&amp;"／","")&amp;IF('ゴミの日（特別）'!F24=1,ゴミの日!$F$3&amp;"／","")&amp;IF('ゴミの日（特別）'!G24=1,ゴミの日!$G$3&amp;"／","")&amp;IF('ゴミの日（特別）'!H24=1,ゴミの日!$H$3&amp;"／","")&amp;IF('ゴミの日（特別）'!I24=1,ゴミの日!$I$3&amp;"／","")&amp;IF('ゴミの日（特別）'!J24=1,ゴミの日!$J$3&amp;"／","")&amp;IF('ゴミの日（特別）'!K24=1,ゴミの日!$K$3&amp;"／","")</f>
        <v/>
      </c>
      <c r="N24" s="2" t="str">
        <f t="shared" si="0"/>
        <v/>
      </c>
      <c r="O24" s="15" t="str">
        <f t="shared" si="1"/>
        <v/>
      </c>
    </row>
    <row r="25" spans="2:15">
      <c r="B25" s="82"/>
      <c r="C25" s="18" t="str">
        <f t="shared" si="2"/>
        <v/>
      </c>
      <c r="D25" s="4"/>
      <c r="E25" s="4"/>
      <c r="F25" s="4"/>
      <c r="G25" s="4"/>
      <c r="H25" s="4"/>
      <c r="I25" s="4"/>
      <c r="J25" s="4"/>
      <c r="K25" s="4"/>
      <c r="M25" s="2" t="str">
        <f>IF('ゴミの日（特別）'!D25=1,ゴミの日!$D$3&amp;"／","")&amp;IF('ゴミの日（特別）'!E25=1,ゴミの日!$E$3&amp;"／","")&amp;IF('ゴミの日（特別）'!F25=1,ゴミの日!$F$3&amp;"／","")&amp;IF('ゴミの日（特別）'!G25=1,ゴミの日!$G$3&amp;"／","")&amp;IF('ゴミの日（特別）'!H25=1,ゴミの日!$H$3&amp;"／","")&amp;IF('ゴミの日（特別）'!I25=1,ゴミの日!$I$3&amp;"／","")&amp;IF('ゴミの日（特別）'!J25=1,ゴミの日!$J$3&amp;"／","")&amp;IF('ゴミの日（特別）'!K25=1,ゴミの日!$K$3&amp;"／","")</f>
        <v/>
      </c>
      <c r="N25" s="2" t="str">
        <f t="shared" si="0"/>
        <v/>
      </c>
      <c r="O25" s="15" t="str">
        <f t="shared" si="1"/>
        <v/>
      </c>
    </row>
  </sheetData>
  <sheetProtection sheet="1" objects="1" scenarios="1"/>
  <phoneticPr fontId="1"/>
  <dataValidations count="2">
    <dataValidation type="date" allowBlank="1" showInputMessage="1" showErrorMessage="1" sqref="B12:B25">
      <formula1>42736</formula1>
      <formula2>73050</formula2>
    </dataValidation>
    <dataValidation type="whole" allowBlank="1" showInputMessage="1" showErrorMessage="1" sqref="D12:K25">
      <formula1>0</formula1>
      <formula2>1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7"/>
  <sheetViews>
    <sheetView workbookViewId="0">
      <selection activeCell="B1" sqref="B1"/>
    </sheetView>
  </sheetViews>
  <sheetFormatPr defaultRowHeight="13.5"/>
  <cols>
    <col min="1" max="1" width="1" customWidth="1"/>
    <col min="2" max="2" width="16.75" style="19" bestFit="1" customWidth="1"/>
    <col min="3" max="3" width="3.75" style="9" bestFit="1" customWidth="1"/>
    <col min="4" max="4" width="11.125" style="9" bestFit="1" customWidth="1"/>
    <col min="5" max="5" width="9" style="9"/>
    <col min="6" max="6" width="10.875" style="9" bestFit="1" customWidth="1"/>
    <col min="7" max="7" width="3.75" style="9" bestFit="1" customWidth="1"/>
    <col min="8" max="8" width="11" style="9" bestFit="1" customWidth="1"/>
    <col min="9" max="10" width="11" style="9" customWidth="1"/>
    <col min="11" max="11" width="23.5" bestFit="1" customWidth="1"/>
    <col min="12" max="12" width="60.75" bestFit="1" customWidth="1"/>
    <col min="13" max="13" width="4" customWidth="1"/>
    <col min="14" max="14" width="74.625" bestFit="1" customWidth="1"/>
  </cols>
  <sheetData>
    <row r="1" spans="2:14" s="20" customFormat="1">
      <c r="B1" s="100">
        <f>収集ゴミのカレンダー!$T$3</f>
        <v>2017</v>
      </c>
      <c r="C1" s="20" t="s">
        <v>149</v>
      </c>
    </row>
    <row r="2" spans="2:14" s="20" customFormat="1">
      <c r="N2" s="20" t="s">
        <v>79</v>
      </c>
    </row>
    <row r="3" spans="2:14" ht="14.25" thickBot="1">
      <c r="B3" s="108" t="s">
        <v>114</v>
      </c>
      <c r="C3" s="108"/>
      <c r="D3" s="108"/>
      <c r="E3" s="108"/>
      <c r="F3" s="109" t="s">
        <v>116</v>
      </c>
      <c r="G3" s="110"/>
      <c r="H3" s="110"/>
      <c r="I3" s="111"/>
      <c r="J3" s="112"/>
      <c r="K3" s="94"/>
    </row>
    <row r="4" spans="2:14">
      <c r="B4" s="92" t="s">
        <v>107</v>
      </c>
      <c r="C4" s="92" t="s">
        <v>86</v>
      </c>
      <c r="D4" s="92" t="s">
        <v>0</v>
      </c>
      <c r="E4" s="92" t="s">
        <v>3</v>
      </c>
      <c r="F4" s="92" t="s">
        <v>119</v>
      </c>
      <c r="G4" s="92" t="s">
        <v>115</v>
      </c>
      <c r="H4" s="95" t="s">
        <v>3</v>
      </c>
      <c r="I4" s="96" t="s">
        <v>141</v>
      </c>
      <c r="J4" s="97" t="s">
        <v>113</v>
      </c>
      <c r="K4" s="98" t="s">
        <v>108</v>
      </c>
      <c r="N4" t="s">
        <v>41</v>
      </c>
    </row>
    <row r="5" spans="2:14">
      <c r="B5" s="35" t="s">
        <v>123</v>
      </c>
      <c r="C5" s="8">
        <v>1</v>
      </c>
      <c r="D5" s="8">
        <v>1</v>
      </c>
      <c r="E5" s="18"/>
      <c r="F5" s="18"/>
      <c r="G5" s="8">
        <v>1</v>
      </c>
      <c r="H5" s="27">
        <f t="shared" ref="H5:H31" si="0">WEEKDAY(DATE(年,C5,G5))</f>
        <v>1</v>
      </c>
      <c r="I5" s="28">
        <f>C5*100+G5</f>
        <v>101</v>
      </c>
      <c r="J5" s="21">
        <v>1</v>
      </c>
      <c r="K5" s="29" t="s">
        <v>81</v>
      </c>
      <c r="N5" t="s">
        <v>42</v>
      </c>
    </row>
    <row r="6" spans="2:14">
      <c r="B6" s="36"/>
      <c r="C6" s="8">
        <v>1</v>
      </c>
      <c r="D6" s="8">
        <v>2</v>
      </c>
      <c r="E6" s="18">
        <v>2</v>
      </c>
      <c r="F6" s="18"/>
      <c r="G6" s="8">
        <v>2</v>
      </c>
      <c r="H6" s="27">
        <f t="shared" si="0"/>
        <v>2</v>
      </c>
      <c r="I6" s="28">
        <f t="shared" ref="I6:I31" si="1">C6*100+G6</f>
        <v>102</v>
      </c>
      <c r="J6" s="21">
        <f t="shared" ref="J6:J16" si="2">IF(B6="",IF(E6=H6,1,0),1)</f>
        <v>1</v>
      </c>
      <c r="K6" s="29" t="s">
        <v>94</v>
      </c>
      <c r="N6" t="s">
        <v>43</v>
      </c>
    </row>
    <row r="7" spans="2:14">
      <c r="B7" s="36" t="s">
        <v>83</v>
      </c>
      <c r="C7" s="8">
        <v>1</v>
      </c>
      <c r="D7" s="22" t="s">
        <v>84</v>
      </c>
      <c r="E7" s="18">
        <v>2</v>
      </c>
      <c r="F7" s="101">
        <f>WEEKDAY(DATE(年,C7,1))</f>
        <v>1</v>
      </c>
      <c r="G7" s="102">
        <f>IF(F7&lt;3,3-F7+7,10-F7+7)</f>
        <v>9</v>
      </c>
      <c r="H7" s="27">
        <f t="shared" si="0"/>
        <v>2</v>
      </c>
      <c r="I7" s="28">
        <f t="shared" si="1"/>
        <v>109</v>
      </c>
      <c r="J7" s="26">
        <f t="shared" si="2"/>
        <v>1</v>
      </c>
      <c r="K7" s="29" t="s">
        <v>82</v>
      </c>
      <c r="N7" t="s">
        <v>44</v>
      </c>
    </row>
    <row r="8" spans="2:14">
      <c r="B8" s="35" t="s">
        <v>122</v>
      </c>
      <c r="C8" s="8">
        <v>2</v>
      </c>
      <c r="D8" s="8">
        <v>11</v>
      </c>
      <c r="E8" s="18"/>
      <c r="F8" s="18"/>
      <c r="G8" s="8">
        <v>11</v>
      </c>
      <c r="H8" s="27">
        <f t="shared" si="0"/>
        <v>7</v>
      </c>
      <c r="I8" s="28">
        <f t="shared" si="1"/>
        <v>211</v>
      </c>
      <c r="J8" s="21">
        <f t="shared" si="2"/>
        <v>1</v>
      </c>
      <c r="K8" s="29" t="s">
        <v>85</v>
      </c>
      <c r="N8" t="s">
        <v>45</v>
      </c>
    </row>
    <row r="9" spans="2:14">
      <c r="B9" s="36"/>
      <c r="C9" s="8">
        <v>2</v>
      </c>
      <c r="D9" s="8">
        <v>12</v>
      </c>
      <c r="E9" s="18">
        <v>2</v>
      </c>
      <c r="F9" s="18"/>
      <c r="G9" s="8">
        <v>12</v>
      </c>
      <c r="H9" s="27">
        <f t="shared" si="0"/>
        <v>1</v>
      </c>
      <c r="I9" s="28">
        <f t="shared" si="1"/>
        <v>212</v>
      </c>
      <c r="J9" s="21">
        <f t="shared" si="2"/>
        <v>0</v>
      </c>
      <c r="K9" s="29" t="s">
        <v>94</v>
      </c>
      <c r="N9" t="s">
        <v>46</v>
      </c>
    </row>
    <row r="10" spans="2:14">
      <c r="B10" s="36" t="s">
        <v>88</v>
      </c>
      <c r="C10" s="8">
        <v>3</v>
      </c>
      <c r="D10" s="8" t="s">
        <v>111</v>
      </c>
      <c r="E10" s="18"/>
      <c r="F10" s="18"/>
      <c r="G10" s="99">
        <f>FLOOR(20.8431 + 0.242194*(年-1980)-FLOOR((年-1980)/4,1),1)</f>
        <v>20</v>
      </c>
      <c r="H10" s="27">
        <f t="shared" si="0"/>
        <v>2</v>
      </c>
      <c r="I10" s="28">
        <f t="shared" si="1"/>
        <v>320</v>
      </c>
      <c r="J10" s="21">
        <f t="shared" si="2"/>
        <v>1</v>
      </c>
      <c r="K10" s="29" t="s">
        <v>87</v>
      </c>
      <c r="L10" s="39" t="s">
        <v>134</v>
      </c>
      <c r="N10" t="s">
        <v>47</v>
      </c>
    </row>
    <row r="11" spans="2:14">
      <c r="B11" s="36"/>
      <c r="C11" s="8">
        <v>3</v>
      </c>
      <c r="D11" s="8" t="s">
        <v>120</v>
      </c>
      <c r="E11" s="18">
        <v>2</v>
      </c>
      <c r="F11" s="18"/>
      <c r="G11" s="99">
        <f>G10+1</f>
        <v>21</v>
      </c>
      <c r="H11" s="27">
        <f t="shared" si="0"/>
        <v>3</v>
      </c>
      <c r="I11" s="28">
        <f t="shared" si="1"/>
        <v>321</v>
      </c>
      <c r="J11" s="21">
        <f t="shared" si="2"/>
        <v>0</v>
      </c>
      <c r="K11" s="29" t="s">
        <v>94</v>
      </c>
      <c r="N11" t="s">
        <v>48</v>
      </c>
    </row>
    <row r="12" spans="2:14">
      <c r="B12" s="35" t="s">
        <v>136</v>
      </c>
      <c r="C12" s="8">
        <v>4</v>
      </c>
      <c r="D12" s="8">
        <v>29</v>
      </c>
      <c r="E12" s="18"/>
      <c r="F12" s="18"/>
      <c r="G12" s="8">
        <v>29</v>
      </c>
      <c r="H12" s="27">
        <f t="shared" si="0"/>
        <v>7</v>
      </c>
      <c r="I12" s="28">
        <f t="shared" si="1"/>
        <v>429</v>
      </c>
      <c r="J12" s="21">
        <f t="shared" si="2"/>
        <v>1</v>
      </c>
      <c r="K12" s="29" t="s">
        <v>89</v>
      </c>
      <c r="N12" t="s">
        <v>49</v>
      </c>
    </row>
    <row r="13" spans="2:14">
      <c r="B13" s="36"/>
      <c r="C13" s="8">
        <v>4</v>
      </c>
      <c r="D13" s="8">
        <v>30</v>
      </c>
      <c r="E13" s="18">
        <v>2</v>
      </c>
      <c r="F13" s="18"/>
      <c r="G13" s="8">
        <v>30</v>
      </c>
      <c r="H13" s="27">
        <f t="shared" si="0"/>
        <v>1</v>
      </c>
      <c r="I13" s="28">
        <f t="shared" si="1"/>
        <v>430</v>
      </c>
      <c r="J13" s="21">
        <f t="shared" si="2"/>
        <v>0</v>
      </c>
      <c r="K13" s="29" t="s">
        <v>94</v>
      </c>
      <c r="N13" t="s">
        <v>50</v>
      </c>
    </row>
    <row r="14" spans="2:14">
      <c r="B14" s="35" t="s">
        <v>124</v>
      </c>
      <c r="C14" s="8">
        <v>5</v>
      </c>
      <c r="D14" s="8">
        <v>3</v>
      </c>
      <c r="E14" s="18"/>
      <c r="F14" s="18"/>
      <c r="G14" s="8">
        <v>3</v>
      </c>
      <c r="H14" s="27">
        <f t="shared" si="0"/>
        <v>4</v>
      </c>
      <c r="I14" s="28">
        <f t="shared" si="1"/>
        <v>503</v>
      </c>
      <c r="J14" s="21">
        <f t="shared" si="2"/>
        <v>1</v>
      </c>
      <c r="K14" s="29" t="s">
        <v>90</v>
      </c>
      <c r="N14" t="s">
        <v>51</v>
      </c>
    </row>
    <row r="15" spans="2:14">
      <c r="B15" s="35" t="s">
        <v>125</v>
      </c>
      <c r="C15" s="8">
        <v>5</v>
      </c>
      <c r="D15" s="8">
        <v>4</v>
      </c>
      <c r="E15" s="18"/>
      <c r="F15" s="18"/>
      <c r="G15" s="8">
        <v>4</v>
      </c>
      <c r="H15" s="27">
        <f t="shared" si="0"/>
        <v>5</v>
      </c>
      <c r="I15" s="28">
        <f t="shared" si="1"/>
        <v>504</v>
      </c>
      <c r="J15" s="21">
        <f t="shared" si="2"/>
        <v>1</v>
      </c>
      <c r="K15" s="29" t="s">
        <v>91</v>
      </c>
      <c r="N15" t="s">
        <v>52</v>
      </c>
    </row>
    <row r="16" spans="2:14">
      <c r="B16" s="35" t="s">
        <v>126</v>
      </c>
      <c r="C16" s="8">
        <v>5</v>
      </c>
      <c r="D16" s="8">
        <v>5</v>
      </c>
      <c r="E16" s="18"/>
      <c r="F16" s="18"/>
      <c r="G16" s="8">
        <v>5</v>
      </c>
      <c r="H16" s="27">
        <f t="shared" si="0"/>
        <v>6</v>
      </c>
      <c r="I16" s="28">
        <f t="shared" si="1"/>
        <v>505</v>
      </c>
      <c r="J16" s="21">
        <f t="shared" si="2"/>
        <v>1</v>
      </c>
      <c r="K16" s="29" t="s">
        <v>92</v>
      </c>
    </row>
    <row r="17" spans="2:14">
      <c r="B17" s="37"/>
      <c r="C17" s="8">
        <v>5</v>
      </c>
      <c r="D17" s="8">
        <v>6</v>
      </c>
      <c r="E17" s="24" t="s">
        <v>93</v>
      </c>
      <c r="F17" s="25"/>
      <c r="G17" s="8">
        <v>6</v>
      </c>
      <c r="H17" s="27">
        <f t="shared" si="0"/>
        <v>7</v>
      </c>
      <c r="I17" s="28">
        <f t="shared" si="1"/>
        <v>506</v>
      </c>
      <c r="J17" s="23">
        <f>IF(OR(H17=2,H17=3,H17=4),1,0)</f>
        <v>0</v>
      </c>
      <c r="K17" s="29" t="s">
        <v>94</v>
      </c>
      <c r="L17" s="1" t="s">
        <v>117</v>
      </c>
    </row>
    <row r="18" spans="2:14">
      <c r="B18" s="36" t="s">
        <v>95</v>
      </c>
      <c r="C18" s="8">
        <v>7</v>
      </c>
      <c r="D18" s="8" t="s">
        <v>96</v>
      </c>
      <c r="E18" s="18">
        <v>2</v>
      </c>
      <c r="F18" s="101">
        <f>WEEKDAY(DATE(年,C18,1))</f>
        <v>7</v>
      </c>
      <c r="G18" s="102">
        <f>IF(F18&lt;3,3-F18+7*2,10-F18+7*2)</f>
        <v>17</v>
      </c>
      <c r="H18" s="27">
        <f t="shared" si="0"/>
        <v>2</v>
      </c>
      <c r="I18" s="28">
        <f t="shared" si="1"/>
        <v>717</v>
      </c>
      <c r="J18" s="26">
        <f>IF(B18="",IF(E18=H18,1,0),1)</f>
        <v>1</v>
      </c>
      <c r="K18" s="30" t="s">
        <v>97</v>
      </c>
    </row>
    <row r="19" spans="2:14">
      <c r="B19" s="35" t="s">
        <v>127</v>
      </c>
      <c r="C19" s="8">
        <v>8</v>
      </c>
      <c r="D19" s="8">
        <v>11</v>
      </c>
      <c r="E19" s="18"/>
      <c r="F19" s="18"/>
      <c r="G19" s="8">
        <v>11</v>
      </c>
      <c r="H19" s="27">
        <f t="shared" si="0"/>
        <v>6</v>
      </c>
      <c r="I19" s="28">
        <f t="shared" si="1"/>
        <v>811</v>
      </c>
      <c r="J19" s="26">
        <f>IF(B19="",IF(E19=H19,1,0),1)</f>
        <v>1</v>
      </c>
      <c r="K19" s="29" t="s">
        <v>98</v>
      </c>
      <c r="N19" s="1" t="s">
        <v>80</v>
      </c>
    </row>
    <row r="20" spans="2:14">
      <c r="B20" s="36"/>
      <c r="C20" s="8">
        <v>8</v>
      </c>
      <c r="D20" s="8">
        <v>12</v>
      </c>
      <c r="E20" s="18">
        <v>2</v>
      </c>
      <c r="F20" s="18"/>
      <c r="G20" s="8">
        <v>12</v>
      </c>
      <c r="H20" s="27">
        <f t="shared" si="0"/>
        <v>7</v>
      </c>
      <c r="I20" s="28">
        <f t="shared" si="1"/>
        <v>812</v>
      </c>
      <c r="J20" s="26">
        <f>IF(B20="",IF(E20=H20,1,0),1)</f>
        <v>0</v>
      </c>
      <c r="K20" s="29" t="s">
        <v>94</v>
      </c>
      <c r="N20" t="s">
        <v>53</v>
      </c>
    </row>
    <row r="21" spans="2:14">
      <c r="B21" s="36" t="s">
        <v>102</v>
      </c>
      <c r="C21" s="8">
        <v>9</v>
      </c>
      <c r="D21" s="8" t="s">
        <v>96</v>
      </c>
      <c r="E21" s="18">
        <v>2</v>
      </c>
      <c r="F21" s="101">
        <f>WEEKDAY(DATE(年,C21,1))</f>
        <v>6</v>
      </c>
      <c r="G21" s="102">
        <f>IF(F21&lt;3,3-F21+7*2,10-F21+7*2)</f>
        <v>18</v>
      </c>
      <c r="H21" s="27">
        <f t="shared" si="0"/>
        <v>2</v>
      </c>
      <c r="I21" s="28">
        <f t="shared" si="1"/>
        <v>918</v>
      </c>
      <c r="J21" s="26">
        <f>IF(B21="",IF(E21=H21,1,0),1)</f>
        <v>1</v>
      </c>
      <c r="K21" s="29" t="s">
        <v>101</v>
      </c>
      <c r="N21" t="s">
        <v>54</v>
      </c>
    </row>
    <row r="22" spans="2:14">
      <c r="B22" s="40" t="str">
        <f>IF(J22=1,"9月22日","")</f>
        <v/>
      </c>
      <c r="C22" s="8">
        <v>9</v>
      </c>
      <c r="D22" s="8">
        <v>22</v>
      </c>
      <c r="E22" s="18">
        <v>3</v>
      </c>
      <c r="F22" s="18"/>
      <c r="G22" s="38">
        <v>22</v>
      </c>
      <c r="H22" s="27">
        <f t="shared" si="0"/>
        <v>6</v>
      </c>
      <c r="I22" s="28">
        <f t="shared" si="1"/>
        <v>922</v>
      </c>
      <c r="J22" s="41">
        <f>IF(G21=21,IF(G23=23,1,0),0)</f>
        <v>0</v>
      </c>
      <c r="K22" s="29" t="s">
        <v>103</v>
      </c>
      <c r="L22" s="1" t="s">
        <v>118</v>
      </c>
      <c r="N22" t="s">
        <v>55</v>
      </c>
    </row>
    <row r="23" spans="2:14">
      <c r="B23" s="5" t="s">
        <v>99</v>
      </c>
      <c r="C23" s="8">
        <v>9</v>
      </c>
      <c r="D23" s="8" t="s">
        <v>112</v>
      </c>
      <c r="E23" s="18"/>
      <c r="F23" s="18"/>
      <c r="G23" s="99">
        <f>FLOOR(23.2488 + 0.242194*(年-1980)-FLOOR((年-1980)/4,1),1)</f>
        <v>23</v>
      </c>
      <c r="H23" s="27">
        <f t="shared" si="0"/>
        <v>7</v>
      </c>
      <c r="I23" s="28">
        <f t="shared" si="1"/>
        <v>923</v>
      </c>
      <c r="J23" s="26">
        <f t="shared" ref="J23:J31" si="3">IF(B23="",IF(E23=H23,1,0),1)</f>
        <v>1</v>
      </c>
      <c r="K23" s="29" t="s">
        <v>100</v>
      </c>
      <c r="L23" s="39" t="s">
        <v>133</v>
      </c>
      <c r="N23" t="s">
        <v>56</v>
      </c>
    </row>
    <row r="24" spans="2:14">
      <c r="B24" s="36"/>
      <c r="C24" s="8">
        <v>9</v>
      </c>
      <c r="D24" s="8" t="s">
        <v>121</v>
      </c>
      <c r="E24" s="18">
        <v>2</v>
      </c>
      <c r="F24" s="18"/>
      <c r="G24" s="99">
        <f>G23+1</f>
        <v>24</v>
      </c>
      <c r="H24" s="27">
        <f t="shared" si="0"/>
        <v>1</v>
      </c>
      <c r="I24" s="28">
        <f t="shared" si="1"/>
        <v>924</v>
      </c>
      <c r="J24" s="26">
        <f t="shared" si="3"/>
        <v>0</v>
      </c>
      <c r="K24" s="29" t="s">
        <v>94</v>
      </c>
      <c r="N24" t="s">
        <v>57</v>
      </c>
    </row>
    <row r="25" spans="2:14">
      <c r="B25" s="5" t="s">
        <v>104</v>
      </c>
      <c r="C25" s="8">
        <v>10</v>
      </c>
      <c r="D25" s="8" t="s">
        <v>84</v>
      </c>
      <c r="E25" s="18">
        <v>2</v>
      </c>
      <c r="F25" s="101">
        <f>WEEKDAY(DATE(年,C25,1))</f>
        <v>1</v>
      </c>
      <c r="G25" s="102">
        <f>IF(F25&lt;3,3-F25+7,10-F25+7)</f>
        <v>9</v>
      </c>
      <c r="H25" s="27">
        <f t="shared" si="0"/>
        <v>2</v>
      </c>
      <c r="I25" s="28">
        <f t="shared" si="1"/>
        <v>1009</v>
      </c>
      <c r="J25" s="26">
        <f t="shared" si="3"/>
        <v>1</v>
      </c>
      <c r="K25" s="30" t="s">
        <v>105</v>
      </c>
    </row>
    <row r="26" spans="2:14">
      <c r="B26" s="35" t="s">
        <v>128</v>
      </c>
      <c r="C26" s="8">
        <v>11</v>
      </c>
      <c r="D26" s="8">
        <v>3</v>
      </c>
      <c r="E26" s="18"/>
      <c r="F26" s="18"/>
      <c r="G26" s="8">
        <v>3</v>
      </c>
      <c r="H26" s="27">
        <f t="shared" si="0"/>
        <v>6</v>
      </c>
      <c r="I26" s="28">
        <f t="shared" si="1"/>
        <v>1103</v>
      </c>
      <c r="J26" s="26">
        <f t="shared" si="3"/>
        <v>1</v>
      </c>
      <c r="K26" s="29" t="s">
        <v>106</v>
      </c>
      <c r="N26" t="s">
        <v>58</v>
      </c>
    </row>
    <row r="27" spans="2:14">
      <c r="B27" s="36"/>
      <c r="C27" s="8">
        <v>11</v>
      </c>
      <c r="D27" s="8">
        <v>4</v>
      </c>
      <c r="E27" s="18">
        <v>2</v>
      </c>
      <c r="F27" s="18"/>
      <c r="G27" s="8">
        <v>4</v>
      </c>
      <c r="H27" s="27">
        <f t="shared" si="0"/>
        <v>7</v>
      </c>
      <c r="I27" s="28">
        <f t="shared" si="1"/>
        <v>1104</v>
      </c>
      <c r="J27" s="26">
        <f t="shared" si="3"/>
        <v>0</v>
      </c>
      <c r="K27" s="29" t="s">
        <v>152</v>
      </c>
      <c r="N27" t="s">
        <v>59</v>
      </c>
    </row>
    <row r="28" spans="2:14">
      <c r="B28" s="35" t="s">
        <v>129</v>
      </c>
      <c r="C28" s="8">
        <v>11</v>
      </c>
      <c r="D28" s="8">
        <v>23</v>
      </c>
      <c r="E28" s="18"/>
      <c r="F28" s="18"/>
      <c r="G28" s="8">
        <v>23</v>
      </c>
      <c r="H28" s="27">
        <f t="shared" si="0"/>
        <v>5</v>
      </c>
      <c r="I28" s="28">
        <f t="shared" si="1"/>
        <v>1123</v>
      </c>
      <c r="J28" s="21">
        <f t="shared" si="3"/>
        <v>1</v>
      </c>
      <c r="K28" s="29" t="s">
        <v>109</v>
      </c>
      <c r="N28" t="s">
        <v>60</v>
      </c>
    </row>
    <row r="29" spans="2:14">
      <c r="B29" s="36"/>
      <c r="C29" s="8">
        <v>11</v>
      </c>
      <c r="D29" s="8">
        <v>24</v>
      </c>
      <c r="E29" s="18">
        <v>2</v>
      </c>
      <c r="F29" s="18"/>
      <c r="G29" s="8">
        <v>24</v>
      </c>
      <c r="H29" s="27">
        <f t="shared" si="0"/>
        <v>6</v>
      </c>
      <c r="I29" s="28">
        <f t="shared" si="1"/>
        <v>1124</v>
      </c>
      <c r="J29" s="21">
        <f t="shared" si="3"/>
        <v>0</v>
      </c>
      <c r="K29" s="29" t="s">
        <v>94</v>
      </c>
      <c r="N29" t="s">
        <v>61</v>
      </c>
    </row>
    <row r="30" spans="2:14">
      <c r="B30" s="35" t="s">
        <v>130</v>
      </c>
      <c r="C30" s="8">
        <v>12</v>
      </c>
      <c r="D30" s="8">
        <v>23</v>
      </c>
      <c r="E30" s="18"/>
      <c r="F30" s="18"/>
      <c r="G30" s="8">
        <v>23</v>
      </c>
      <c r="H30" s="27">
        <f t="shared" si="0"/>
        <v>7</v>
      </c>
      <c r="I30" s="28">
        <f t="shared" si="1"/>
        <v>1223</v>
      </c>
      <c r="J30" s="21">
        <f t="shared" si="3"/>
        <v>1</v>
      </c>
      <c r="K30" s="29" t="s">
        <v>110</v>
      </c>
      <c r="N30" t="s">
        <v>62</v>
      </c>
    </row>
    <row r="31" spans="2:14" ht="14.25" thickBot="1">
      <c r="B31" s="36"/>
      <c r="C31" s="8">
        <v>12</v>
      </c>
      <c r="D31" s="8">
        <v>24</v>
      </c>
      <c r="E31" s="18">
        <v>2</v>
      </c>
      <c r="F31" s="18"/>
      <c r="G31" s="8">
        <v>24</v>
      </c>
      <c r="H31" s="27">
        <f t="shared" si="0"/>
        <v>1</v>
      </c>
      <c r="I31" s="31">
        <f t="shared" si="1"/>
        <v>1224</v>
      </c>
      <c r="J31" s="32">
        <f t="shared" si="3"/>
        <v>0</v>
      </c>
      <c r="K31" s="33" t="s">
        <v>152</v>
      </c>
      <c r="N31" t="s">
        <v>63</v>
      </c>
    </row>
    <row r="32" spans="2:14">
      <c r="B32" s="34">
        <f>ROWS(B5:B31)-COUNTBLANK(B5:B31)</f>
        <v>16</v>
      </c>
      <c r="N32" t="s">
        <v>64</v>
      </c>
    </row>
    <row r="33" spans="2:14">
      <c r="B33" s="19" t="s">
        <v>131</v>
      </c>
      <c r="N33" t="s">
        <v>65</v>
      </c>
    </row>
    <row r="34" spans="2:14">
      <c r="B34" s="19" t="s">
        <v>132</v>
      </c>
      <c r="N34" t="s">
        <v>66</v>
      </c>
    </row>
    <row r="36" spans="2:14">
      <c r="N36" t="s">
        <v>67</v>
      </c>
    </row>
    <row r="37" spans="2:14">
      <c r="N37" t="s">
        <v>68</v>
      </c>
    </row>
    <row r="38" spans="2:14">
      <c r="N38" t="s">
        <v>69</v>
      </c>
    </row>
    <row r="39" spans="2:14">
      <c r="N39" t="s">
        <v>70</v>
      </c>
    </row>
    <row r="40" spans="2:14">
      <c r="N40" t="s">
        <v>71</v>
      </c>
    </row>
    <row r="42" spans="2:14">
      <c r="N42" t="s">
        <v>72</v>
      </c>
    </row>
    <row r="43" spans="2:14">
      <c r="N43" t="s">
        <v>73</v>
      </c>
    </row>
    <row r="44" spans="2:14">
      <c r="N44" t="s">
        <v>74</v>
      </c>
    </row>
    <row r="45" spans="2:14">
      <c r="N45" t="s">
        <v>75</v>
      </c>
    </row>
    <row r="47" spans="2:14">
      <c r="N47" t="s">
        <v>76</v>
      </c>
    </row>
    <row r="48" spans="2:14">
      <c r="N48" t="s">
        <v>77</v>
      </c>
    </row>
    <row r="49" spans="2:14">
      <c r="N49" t="s">
        <v>78</v>
      </c>
    </row>
    <row r="56" spans="2:14">
      <c r="N56" s="1"/>
    </row>
    <row r="57" spans="2:14" s="1" customFormat="1">
      <c r="B57" s="19"/>
      <c r="C57" s="9"/>
      <c r="D57" s="9"/>
      <c r="E57" s="9"/>
      <c r="F57" s="9"/>
      <c r="G57" s="9"/>
      <c r="H57" s="9"/>
      <c r="I57" s="9"/>
      <c r="J57" s="9"/>
      <c r="K57"/>
    </row>
    <row r="67" spans="14:14">
      <c r="N67" s="1"/>
    </row>
  </sheetData>
  <sheetProtection sheet="1" objects="1" scenarios="1"/>
  <mergeCells count="2">
    <mergeCell ref="B3:E3"/>
    <mergeCell ref="F3:J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収集ゴミのカレンダー</vt:lpstr>
      <vt:lpstr>ゴミの日</vt:lpstr>
      <vt:lpstr>ゴミの日（特別）</vt:lpstr>
      <vt:lpstr>祝日</vt:lpstr>
      <vt:lpstr>収集ゴミのカレンダー!月のリスト</vt:lpstr>
      <vt:lpstr>年</vt:lpstr>
      <vt:lpstr>表示データ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todoro</dc:creator>
  <cp:lastModifiedBy>todoro</cp:lastModifiedBy>
  <cp:lastPrinted>2017-03-10T02:58:50Z</cp:lastPrinted>
  <dcterms:created xsi:type="dcterms:W3CDTF">2017-03-05T01:58:13Z</dcterms:created>
  <dcterms:modified xsi:type="dcterms:W3CDTF">2017-03-13T10:30:06Z</dcterms:modified>
</cp:coreProperties>
</file>